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.crnormandie.fr\Bureautique\DGA SEI\DEI\05. Service pilotage FEDER FSE IEJ\2014-2020\06. Pôle coordination\RAMO\RFMO 2024 sur les données 2023\Tableaux utilisés données financières\"/>
    </mc:Choice>
  </mc:AlternateContent>
  <xr:revisionPtr revIDLastSave="0" documentId="13_ncr:1_{3C0821C5-2622-4664-B17D-84C871320CC5}" xr6:coauthVersionLast="47" xr6:coauthVersionMax="47" xr10:uidLastSave="{00000000-0000-0000-0000-000000000000}"/>
  <bookViews>
    <workbookView xWindow="28710" yWindow="0" windowWidth="17475" windowHeight="15585" xr2:uid="{A6082385-2094-4986-B33B-B91531A1FAB2}"/>
  </bookViews>
  <sheets>
    <sheet name="PO BN + REACT-EU" sheetId="2" r:id="rId1"/>
    <sheet name="PO HN" sheetId="1" r:id="rId2"/>
  </sheets>
  <definedNames>
    <definedName name="_xlnm.Print_Area" localSheetId="0">'PO BN + REACT-EU'!$A$1:$H$42</definedName>
    <definedName name="_xlnm.Print_Area" localSheetId="1">'PO HN'!$A$1:$I$40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E51" i="2"/>
  <c r="G12" i="1"/>
  <c r="G35" i="1" s="1"/>
  <c r="G39" i="1" s="1"/>
  <c r="G8" i="1"/>
  <c r="F8" i="1"/>
  <c r="F12" i="1" s="1"/>
  <c r="F35" i="1" s="1"/>
  <c r="F39" i="1" s="1"/>
  <c r="F10" i="2"/>
  <c r="F12" i="2" s="1"/>
  <c r="F37" i="2" s="1"/>
  <c r="F42" i="2" s="1"/>
  <c r="J10" i="2"/>
  <c r="J12" i="2" s="1"/>
  <c r="J37" i="2" s="1"/>
  <c r="J42" i="2" s="1"/>
  <c r="K42" i="2" s="1"/>
  <c r="G10" i="2"/>
  <c r="G12" i="2" s="1"/>
  <c r="G37" i="2" s="1"/>
  <c r="G42" i="2" s="1"/>
  <c r="J9" i="1"/>
  <c r="J12" i="1" s="1"/>
  <c r="J35" i="1" s="1"/>
  <c r="J39" i="1" s="1"/>
  <c r="H42" i="2" l="1"/>
  <c r="K35" i="2"/>
  <c r="K34" i="2"/>
  <c r="K33" i="2"/>
  <c r="K32" i="2"/>
  <c r="K31" i="2"/>
  <c r="K30" i="2"/>
  <c r="K29" i="2"/>
  <c r="K28" i="2"/>
  <c r="K27" i="2"/>
  <c r="J39" i="2"/>
  <c r="G39" i="2"/>
  <c r="G41" i="2" s="1"/>
  <c r="G51" i="2" s="1"/>
  <c r="F39" i="2"/>
  <c r="F41" i="2" s="1"/>
  <c r="F51" i="2" s="1"/>
  <c r="C35" i="2"/>
  <c r="B35" i="2"/>
  <c r="B39" i="2" s="1"/>
  <c r="H34" i="2"/>
  <c r="I34" i="2"/>
  <c r="D34" i="2"/>
  <c r="C33" i="2"/>
  <c r="D33" i="2" s="1"/>
  <c r="I32" i="2"/>
  <c r="H32" i="2"/>
  <c r="I31" i="2"/>
  <c r="I30" i="2"/>
  <c r="H51" i="2" l="1"/>
  <c r="K39" i="2"/>
  <c r="J41" i="2"/>
  <c r="J51" i="2" s="1"/>
  <c r="K51" i="2" s="1"/>
  <c r="H39" i="2"/>
  <c r="D35" i="2"/>
  <c r="C39" i="2"/>
  <c r="D39" i="2" s="1"/>
  <c r="H33" i="2"/>
  <c r="I33" i="2"/>
  <c r="H27" i="2"/>
  <c r="I27" i="2"/>
  <c r="H28" i="2"/>
  <c r="I28" i="2"/>
  <c r="H29" i="2"/>
  <c r="H35" i="2"/>
  <c r="I29" i="2"/>
  <c r="H30" i="2"/>
  <c r="H31" i="2"/>
  <c r="I35" i="2"/>
  <c r="I39" i="2" l="1"/>
  <c r="K41" i="2" l="1"/>
  <c r="K38" i="2"/>
  <c r="K3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I25" i="2"/>
  <c r="I23" i="2"/>
  <c r="I21" i="2"/>
  <c r="I19" i="2"/>
  <c r="I17" i="2"/>
  <c r="I16" i="2"/>
  <c r="I15" i="2"/>
  <c r="I14" i="2"/>
  <c r="I13" i="2"/>
  <c r="I11" i="2"/>
  <c r="I10" i="2"/>
  <c r="I8" i="2"/>
  <c r="I7" i="2"/>
  <c r="I6" i="2"/>
  <c r="I5" i="2"/>
  <c r="I4" i="2"/>
  <c r="K39" i="1"/>
  <c r="K37" i="1"/>
  <c r="K36" i="1"/>
  <c r="K35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H4" i="2" l="1"/>
  <c r="H5" i="2"/>
  <c r="H6" i="2"/>
  <c r="H7" i="2"/>
  <c r="H8" i="2"/>
  <c r="H10" i="2"/>
  <c r="H11" i="2"/>
  <c r="H18" i="2"/>
  <c r="H13" i="2"/>
  <c r="H14" i="2"/>
  <c r="H15" i="2"/>
  <c r="H16" i="2"/>
  <c r="H17" i="2"/>
  <c r="H19" i="2"/>
  <c r="H21" i="2"/>
  <c r="H23" i="2"/>
  <c r="H26" i="2"/>
  <c r="H25" i="2"/>
  <c r="C26" i="2"/>
  <c r="I26" i="2" s="1"/>
  <c r="B26" i="2"/>
  <c r="D25" i="2"/>
  <c r="C24" i="2"/>
  <c r="I24" i="2" s="1"/>
  <c r="B24" i="2"/>
  <c r="D23" i="2"/>
  <c r="C22" i="2"/>
  <c r="I22" i="2" s="1"/>
  <c r="B21" i="2"/>
  <c r="D21" i="2" s="1"/>
  <c r="C20" i="2"/>
  <c r="I20" i="2" s="1"/>
  <c r="B20" i="2"/>
  <c r="D19" i="2"/>
  <c r="C18" i="2"/>
  <c r="C12" i="2"/>
  <c r="C9" i="2"/>
  <c r="B7" i="2" l="1"/>
  <c r="D7" i="2" s="1"/>
  <c r="I9" i="2"/>
  <c r="B17" i="2"/>
  <c r="D17" i="2" s="1"/>
  <c r="I18" i="2"/>
  <c r="B10" i="2"/>
  <c r="I12" i="2"/>
  <c r="H22" i="2"/>
  <c r="H38" i="2"/>
  <c r="H20" i="2"/>
  <c r="H24" i="2"/>
  <c r="H12" i="2"/>
  <c r="H9" i="2"/>
  <c r="B11" i="2"/>
  <c r="D26" i="2"/>
  <c r="B38" i="2"/>
  <c r="B14" i="2"/>
  <c r="D14" i="2" s="1"/>
  <c r="B5" i="2"/>
  <c r="D5" i="2" s="1"/>
  <c r="B13" i="2"/>
  <c r="D13" i="2" s="1"/>
  <c r="D24" i="2"/>
  <c r="D20" i="2"/>
  <c r="B22" i="2"/>
  <c r="D22" i="2" s="1"/>
  <c r="D9" i="2"/>
  <c r="B16" i="2"/>
  <c r="D16" i="2" s="1"/>
  <c r="C38" i="2"/>
  <c r="I38" i="2" s="1"/>
  <c r="C37" i="2"/>
  <c r="B8" i="2"/>
  <c r="D8" i="2" s="1"/>
  <c r="B4" i="2"/>
  <c r="D4" i="2" s="1"/>
  <c r="B6" i="2"/>
  <c r="D6" i="2" s="1"/>
  <c r="B15" i="2"/>
  <c r="D15" i="2" s="1"/>
  <c r="B12" i="2" l="1"/>
  <c r="D12" i="2" s="1"/>
  <c r="C42" i="2"/>
  <c r="D10" i="2"/>
  <c r="I42" i="2"/>
  <c r="I37" i="2"/>
  <c r="C41" i="2"/>
  <c r="D11" i="2"/>
  <c r="B31" i="2"/>
  <c r="B27" i="2"/>
  <c r="B30" i="2"/>
  <c r="B32" i="2"/>
  <c r="B29" i="2"/>
  <c r="B28" i="2"/>
  <c r="H41" i="2"/>
  <c r="H37" i="2"/>
  <c r="D38" i="2"/>
  <c r="B18" i="2"/>
  <c r="D18" i="2" s="1"/>
  <c r="I41" i="2" l="1"/>
  <c r="C51" i="2"/>
  <c r="B37" i="2"/>
  <c r="B42" i="2" s="1"/>
  <c r="D42" i="2" s="1"/>
  <c r="I51" i="2" l="1"/>
  <c r="B41" i="2"/>
  <c r="D37" i="2"/>
  <c r="D41" i="2" l="1"/>
  <c r="B51" i="2"/>
  <c r="D51" i="2" s="1"/>
  <c r="C33" i="1"/>
  <c r="B33" i="1"/>
  <c r="D32" i="1"/>
  <c r="C31" i="1"/>
  <c r="I30" i="1"/>
  <c r="B30" i="1"/>
  <c r="B31" i="1" s="1"/>
  <c r="D31" i="1" s="1"/>
  <c r="C29" i="1"/>
  <c r="D29" i="1" s="1"/>
  <c r="B29" i="1"/>
  <c r="D28" i="1"/>
  <c r="C27" i="1"/>
  <c r="B25" i="1" s="1"/>
  <c r="I25" i="1"/>
  <c r="C24" i="1"/>
  <c r="C36" i="1" s="1"/>
  <c r="B24" i="1"/>
  <c r="B36" i="1" s="1"/>
  <c r="C23" i="1"/>
  <c r="B23" i="1"/>
  <c r="D22" i="1"/>
  <c r="C21" i="1"/>
  <c r="B19" i="1" s="1"/>
  <c r="C18" i="1"/>
  <c r="B17" i="1" s="1"/>
  <c r="D17" i="1" s="1"/>
  <c r="I17" i="1"/>
  <c r="C15" i="1"/>
  <c r="B14" i="1" s="1"/>
  <c r="D14" i="1" s="1"/>
  <c r="C12" i="1"/>
  <c r="B7" i="1" s="1"/>
  <c r="D7" i="1" s="1"/>
  <c r="H7" i="1" l="1"/>
  <c r="D33" i="1"/>
  <c r="B16" i="1"/>
  <c r="B18" i="1" s="1"/>
  <c r="D18" i="1" s="1"/>
  <c r="C35" i="1"/>
  <c r="B13" i="1"/>
  <c r="B15" i="1" s="1"/>
  <c r="D15" i="1" s="1"/>
  <c r="I14" i="1"/>
  <c r="D24" i="1"/>
  <c r="I21" i="1"/>
  <c r="B5" i="1"/>
  <c r="D5" i="1" s="1"/>
  <c r="I19" i="1"/>
  <c r="H22" i="1"/>
  <c r="D23" i="1"/>
  <c r="I6" i="1"/>
  <c r="B9" i="1"/>
  <c r="D9" i="1" s="1"/>
  <c r="H20" i="1"/>
  <c r="H21" i="1"/>
  <c r="I22" i="1"/>
  <c r="B8" i="1"/>
  <c r="D8" i="1" s="1"/>
  <c r="B6" i="1"/>
  <c r="D6" i="1" s="1"/>
  <c r="B10" i="1"/>
  <c r="D10" i="1" s="1"/>
  <c r="B11" i="1"/>
  <c r="D11" i="1" s="1"/>
  <c r="I20" i="1"/>
  <c r="H26" i="1"/>
  <c r="I28" i="1"/>
  <c r="B4" i="1"/>
  <c r="D4" i="1" s="1"/>
  <c r="H19" i="1"/>
  <c r="I8" i="1"/>
  <c r="D36" i="1"/>
  <c r="I26" i="1"/>
  <c r="D30" i="1"/>
  <c r="D25" i="1"/>
  <c r="H5" i="1"/>
  <c r="I5" i="1"/>
  <c r="D16" i="1"/>
  <c r="H17" i="1"/>
  <c r="H4" i="1"/>
  <c r="D19" i="1"/>
  <c r="I4" i="1"/>
  <c r="H6" i="1"/>
  <c r="I7" i="1"/>
  <c r="I11" i="1"/>
  <c r="H11" i="1"/>
  <c r="H14" i="1"/>
  <c r="I16" i="1"/>
  <c r="H16" i="1"/>
  <c r="I9" i="1"/>
  <c r="I10" i="1"/>
  <c r="H10" i="1"/>
  <c r="I13" i="1"/>
  <c r="H13" i="1"/>
  <c r="H8" i="1"/>
  <c r="H9" i="1"/>
  <c r="H29" i="1"/>
  <c r="H32" i="1"/>
  <c r="C37" i="1"/>
  <c r="I29" i="1"/>
  <c r="I32" i="1"/>
  <c r="B20" i="1"/>
  <c r="D20" i="1" s="1"/>
  <c r="H25" i="1"/>
  <c r="B26" i="1"/>
  <c r="D26" i="1" s="1"/>
  <c r="H28" i="1"/>
  <c r="H30" i="1"/>
  <c r="H24" i="1" l="1"/>
  <c r="H27" i="1"/>
  <c r="D13" i="1"/>
  <c r="I23" i="1"/>
  <c r="I24" i="1"/>
  <c r="B12" i="1"/>
  <c r="D12" i="1" s="1"/>
  <c r="H23" i="1"/>
  <c r="I27" i="1"/>
  <c r="B27" i="1"/>
  <c r="H15" i="1"/>
  <c r="I15" i="1"/>
  <c r="I33" i="1"/>
  <c r="H33" i="1"/>
  <c r="B21" i="1"/>
  <c r="D21" i="1" s="1"/>
  <c r="I18" i="1"/>
  <c r="H18" i="1"/>
  <c r="I12" i="1"/>
  <c r="H12" i="1"/>
  <c r="I31" i="1"/>
  <c r="H31" i="1"/>
  <c r="C39" i="1"/>
  <c r="I36" i="1"/>
  <c r="H36" i="1"/>
  <c r="H35" i="1" l="1"/>
  <c r="I35" i="1"/>
  <c r="I37" i="1"/>
  <c r="H37" i="1"/>
  <c r="B37" i="1"/>
  <c r="D37" i="1" s="1"/>
  <c r="D27" i="1"/>
  <c r="B35" i="1"/>
  <c r="B39" i="1" l="1"/>
  <c r="D39" i="1" s="1"/>
  <c r="D35" i="1"/>
  <c r="I39" i="1"/>
  <c r="H39" i="1"/>
</calcChain>
</file>

<file path=xl/sharedStrings.xml><?xml version="1.0" encoding="utf-8"?>
<sst xmlns="http://schemas.openxmlformats.org/spreadsheetml/2006/main" count="91" uniqueCount="61">
  <si>
    <t>PO FEDER FSE IEJ Haute-Normandie - Suivi de la programmation finale</t>
  </si>
  <si>
    <t>Maquette</t>
  </si>
  <si>
    <t>Programmation</t>
  </si>
  <si>
    <t>Paiement</t>
  </si>
  <si>
    <t>OS</t>
  </si>
  <si>
    <t>Maquette CT</t>
  </si>
  <si>
    <t>Maquette UE</t>
  </si>
  <si>
    <t>Taux PO</t>
  </si>
  <si>
    <t>Nb de dossiers</t>
  </si>
  <si>
    <t>CT programmé</t>
  </si>
  <si>
    <t>UE programmé</t>
  </si>
  <si>
    <t>Taux moyen</t>
  </si>
  <si>
    <t>Taux de prog</t>
  </si>
  <si>
    <t>UE payé</t>
  </si>
  <si>
    <t>Taux payé / programmé</t>
  </si>
  <si>
    <t>1.1</t>
  </si>
  <si>
    <t>1.2</t>
  </si>
  <si>
    <t>1.3</t>
  </si>
  <si>
    <t>1.3 Bis</t>
  </si>
  <si>
    <t>1.4</t>
  </si>
  <si>
    <t>1.5</t>
  </si>
  <si>
    <t>1.6</t>
  </si>
  <si>
    <t>1.7</t>
  </si>
  <si>
    <t>Total axe 1</t>
  </si>
  <si>
    <t>2.1</t>
  </si>
  <si>
    <t>2.2</t>
  </si>
  <si>
    <t>Total axe 2</t>
  </si>
  <si>
    <t>3.1</t>
  </si>
  <si>
    <t>3.2</t>
  </si>
  <si>
    <t>Total axe 3</t>
  </si>
  <si>
    <t>4.1</t>
  </si>
  <si>
    <t>4.2</t>
  </si>
  <si>
    <t>Total axe 4</t>
  </si>
  <si>
    <t>5.1</t>
  </si>
  <si>
    <t>Dont IEJ "pur"</t>
  </si>
  <si>
    <t>Total axe 5</t>
  </si>
  <si>
    <t>6.1</t>
  </si>
  <si>
    <t>6.2</t>
  </si>
  <si>
    <t>Total axe 6</t>
  </si>
  <si>
    <t>7.1</t>
  </si>
  <si>
    <t>Total axe 7</t>
  </si>
  <si>
    <t>8.1</t>
  </si>
  <si>
    <t>Total axe 8</t>
  </si>
  <si>
    <t>9.1</t>
  </si>
  <si>
    <t>Total axe 9</t>
  </si>
  <si>
    <t>Total FEDER</t>
  </si>
  <si>
    <t>Total IEJ</t>
  </si>
  <si>
    <t>Total FSE</t>
  </si>
  <si>
    <t>Total général</t>
  </si>
  <si>
    <t>2 Bis</t>
  </si>
  <si>
    <t>PO FEDER FSE Basse-Normandie - Suivi de la programmation finale</t>
  </si>
  <si>
    <t>1.1 santé</t>
  </si>
  <si>
    <t>2.1 économie</t>
  </si>
  <si>
    <t>3.1 numérique</t>
  </si>
  <si>
    <t>5.1 mobilité</t>
  </si>
  <si>
    <t>5.2 friches</t>
  </si>
  <si>
    <t>6.1 AT</t>
  </si>
  <si>
    <t>Total REACT-EU</t>
  </si>
  <si>
    <t>4.1 énergie</t>
  </si>
  <si>
    <t>GRAND TOTAL</t>
  </si>
  <si>
    <t>Hors REACT-EU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</si>
</sst>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0" tint="-0.499984740745262"/>
      <name val="Arial"/>
      <family val="2"/>
    </font>
    <font>
      <i/>
      <sz val="11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0" fontId="2" fillId="0" borderId="0" xfId="2" applyNumberFormat="1" applyFont="1"/>
    <xf numFmtId="1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2" fillId="0" borderId="0" xfId="2" applyNumberFormat="1" applyFont="1"/>
    <xf numFmtId="44" fontId="2" fillId="0" borderId="0" xfId="1" applyFont="1"/>
    <xf numFmtId="164" fontId="8" fillId="0" borderId="0" xfId="0" applyNumberFormat="1" applyFont="1"/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right"/>
    </xf>
    <xf numFmtId="10" fontId="6" fillId="2" borderId="0" xfId="2" applyNumberFormat="1" applyFont="1" applyFill="1"/>
    <xf numFmtId="1" fontId="6" fillId="2" borderId="0" xfId="0" applyNumberFormat="1" applyFont="1" applyFill="1"/>
    <xf numFmtId="164" fontId="6" fillId="2" borderId="0" xfId="0" applyNumberFormat="1" applyFont="1" applyFill="1"/>
    <xf numFmtId="164" fontId="6" fillId="3" borderId="0" xfId="2" applyNumberFormat="1" applyFont="1" applyFill="1"/>
    <xf numFmtId="10" fontId="6" fillId="3" borderId="0" xfId="2" applyNumberFormat="1" applyFont="1" applyFill="1"/>
    <xf numFmtId="0" fontId="2" fillId="0" borderId="0" xfId="0" applyFont="1"/>
    <xf numFmtId="164" fontId="7" fillId="2" borderId="0" xfId="0" applyNumberFormat="1" applyFont="1" applyFill="1" applyAlignment="1">
      <alignment horizontal="righ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10" fontId="9" fillId="0" borderId="0" xfId="2" applyNumberFormat="1" applyFont="1"/>
    <xf numFmtId="1" fontId="9" fillId="0" borderId="0" xfId="0" applyNumberFormat="1" applyFont="1" applyAlignment="1">
      <alignment horizontal="right"/>
    </xf>
    <xf numFmtId="0" fontId="10" fillId="0" borderId="0" xfId="0" applyFont="1"/>
    <xf numFmtId="1" fontId="6" fillId="2" borderId="0" xfId="0" applyNumberFormat="1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  <xf numFmtId="164" fontId="3" fillId="0" borderId="0" xfId="0" applyNumberFormat="1" applyFont="1"/>
    <xf numFmtId="1" fontId="2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10" fontId="9" fillId="0" borderId="0" xfId="2" applyNumberFormat="1" applyFont="1" applyAlignment="1">
      <alignment horizontal="right"/>
    </xf>
    <xf numFmtId="10" fontId="6" fillId="3" borderId="0" xfId="2" applyNumberFormat="1" applyFont="1" applyFill="1" applyAlignment="1">
      <alignment horizontal="right"/>
    </xf>
    <xf numFmtId="10" fontId="3" fillId="0" borderId="0" xfId="2" applyNumberFormat="1" applyFont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10" fontId="2" fillId="2" borderId="0" xfId="2" applyNumberFormat="1" applyFont="1" applyFill="1"/>
    <xf numFmtId="1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10" fontId="2" fillId="3" borderId="0" xfId="2" applyNumberFormat="1" applyFont="1" applyFill="1"/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FF0C5-C0D1-441D-95B7-B70707124194}">
  <sheetPr>
    <pageSetUpPr fitToPage="1"/>
  </sheetPr>
  <dimension ref="A1:K55"/>
  <sheetViews>
    <sheetView tabSelected="1" zoomScale="80" zoomScaleNormal="80" workbookViewId="0">
      <selection activeCell="G27" sqref="G27"/>
    </sheetView>
  </sheetViews>
  <sheetFormatPr baseColWidth="10" defaultColWidth="10.5703125" defaultRowHeight="14.25" x14ac:dyDescent="0.2"/>
  <cols>
    <col min="1" max="1" width="13.42578125" style="38" customWidth="1"/>
    <col min="2" max="2" width="18.42578125" style="38" customWidth="1"/>
    <col min="3" max="3" width="18.42578125" style="39" customWidth="1"/>
    <col min="4" max="4" width="9.42578125" style="39" customWidth="1"/>
    <col min="5" max="5" width="8.42578125" style="39" customWidth="1"/>
    <col min="6" max="7" width="18.42578125" style="36" customWidth="1"/>
    <col min="8" max="9" width="9.42578125" style="1" customWidth="1"/>
    <col min="10" max="10" width="17.5703125" style="1" customWidth="1"/>
    <col min="11" max="11" width="12.42578125" style="1" customWidth="1"/>
    <col min="12" max="16384" width="10.5703125" style="1"/>
  </cols>
  <sheetData>
    <row r="1" spans="1:11" s="2" customFormat="1" ht="28.5" customHeight="1" x14ac:dyDescent="0.2">
      <c r="A1" s="52" t="s">
        <v>50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s="2" customFormat="1" ht="28.5" customHeight="1" x14ac:dyDescent="0.2">
      <c r="A2" s="3"/>
      <c r="B2" s="53" t="s">
        <v>1</v>
      </c>
      <c r="C2" s="52"/>
      <c r="D2" s="54"/>
      <c r="E2" s="52" t="s">
        <v>2</v>
      </c>
      <c r="F2" s="52"/>
      <c r="G2" s="52"/>
      <c r="H2" s="52"/>
      <c r="I2" s="4"/>
      <c r="J2" s="55" t="s">
        <v>3</v>
      </c>
      <c r="K2" s="56"/>
    </row>
    <row r="3" spans="1:11" s="11" customFormat="1" ht="63" customHeight="1" x14ac:dyDescent="0.25">
      <c r="A3" s="5" t="s">
        <v>4</v>
      </c>
      <c r="B3" s="6" t="s">
        <v>5</v>
      </c>
      <c r="C3" s="7" t="s">
        <v>6</v>
      </c>
      <c r="D3" s="7" t="s">
        <v>7</v>
      </c>
      <c r="E3" s="8" t="s">
        <v>8</v>
      </c>
      <c r="F3" s="7" t="s">
        <v>9</v>
      </c>
      <c r="G3" s="7" t="s">
        <v>10</v>
      </c>
      <c r="H3" s="6" t="s">
        <v>11</v>
      </c>
      <c r="I3" s="9" t="s">
        <v>12</v>
      </c>
      <c r="J3" s="10" t="s">
        <v>13</v>
      </c>
      <c r="K3" s="10" t="s">
        <v>14</v>
      </c>
    </row>
    <row r="4" spans="1:11" x14ac:dyDescent="0.2">
      <c r="A4" s="12">
        <v>1</v>
      </c>
      <c r="B4" s="41">
        <f>141023328*C4/$C$9</f>
        <v>77309869.391587734</v>
      </c>
      <c r="C4" s="13">
        <v>39700000</v>
      </c>
      <c r="D4" s="14">
        <f t="shared" ref="D4:D26" si="0">C4/B4</f>
        <v>0.51351787698557216</v>
      </c>
      <c r="E4" s="15">
        <v>150</v>
      </c>
      <c r="F4" s="16">
        <v>66787278.480000012</v>
      </c>
      <c r="G4" s="16">
        <v>42851945.090000011</v>
      </c>
      <c r="H4" s="14">
        <f t="shared" ref="H4:H26" si="1">G4/F4</f>
        <v>0.64161837501482222</v>
      </c>
      <c r="I4" s="14">
        <f t="shared" ref="I4:I41" si="2">G4/C4</f>
        <v>1.0793940828715367</v>
      </c>
      <c r="J4" s="17">
        <v>42851945.090000011</v>
      </c>
      <c r="K4" s="14">
        <f>J4/G4</f>
        <v>1</v>
      </c>
    </row>
    <row r="5" spans="1:11" x14ac:dyDescent="0.2">
      <c r="A5" s="12">
        <v>2</v>
      </c>
      <c r="B5" s="41">
        <f>141023328*C5/$C$9</f>
        <v>29085647.587726809</v>
      </c>
      <c r="C5" s="13">
        <v>14936000</v>
      </c>
      <c r="D5" s="14">
        <f t="shared" si="0"/>
        <v>0.51351787698557216</v>
      </c>
      <c r="E5" s="15">
        <v>115</v>
      </c>
      <c r="F5" s="16">
        <v>33076889.559999995</v>
      </c>
      <c r="G5" s="16">
        <v>13345224.1</v>
      </c>
      <c r="H5" s="14">
        <f t="shared" si="1"/>
        <v>0.40346067231600968</v>
      </c>
      <c r="I5" s="14">
        <f t="shared" si="2"/>
        <v>0.89349384708087842</v>
      </c>
      <c r="J5" s="17">
        <v>13345224.1</v>
      </c>
      <c r="K5" s="14">
        <f t="shared" ref="K5:K42" si="3">J5/G5</f>
        <v>1</v>
      </c>
    </row>
    <row r="6" spans="1:11" x14ac:dyDescent="0.2">
      <c r="A6" s="12" t="s">
        <v>49</v>
      </c>
      <c r="B6" s="41">
        <f>141023328*C6/$C$9</f>
        <v>1522829.1653456322</v>
      </c>
      <c r="C6" s="13">
        <v>782000</v>
      </c>
      <c r="D6" s="14">
        <f t="shared" si="0"/>
        <v>0.51351787698557227</v>
      </c>
      <c r="E6" s="15">
        <v>1</v>
      </c>
      <c r="F6" s="16">
        <v>981393.95</v>
      </c>
      <c r="G6" s="16">
        <v>785115.35</v>
      </c>
      <c r="H6" s="14">
        <f t="shared" si="1"/>
        <v>0.80000019360217167</v>
      </c>
      <c r="I6" s="14">
        <f t="shared" si="2"/>
        <v>1.0039838235294118</v>
      </c>
      <c r="J6" s="17">
        <v>785115.35</v>
      </c>
      <c r="K6" s="14">
        <f t="shared" si="3"/>
        <v>1</v>
      </c>
    </row>
    <row r="7" spans="1:11" x14ac:dyDescent="0.2">
      <c r="A7" s="12">
        <v>3</v>
      </c>
      <c r="B7" s="41">
        <f>141023328*C7/$C$9</f>
        <v>14799874.241210749</v>
      </c>
      <c r="C7" s="13">
        <v>7600000</v>
      </c>
      <c r="D7" s="14">
        <f t="shared" si="0"/>
        <v>0.51351787698557216</v>
      </c>
      <c r="E7" s="15">
        <v>17</v>
      </c>
      <c r="F7" s="16">
        <v>19613277.669999998</v>
      </c>
      <c r="G7" s="16">
        <v>6964278.4299999997</v>
      </c>
      <c r="H7" s="14">
        <f t="shared" si="1"/>
        <v>0.35507978560117942</v>
      </c>
      <c r="I7" s="14">
        <f t="shared" si="2"/>
        <v>0.91635242499999991</v>
      </c>
      <c r="J7" s="17">
        <v>6964278.4299999997</v>
      </c>
      <c r="K7" s="14">
        <f t="shared" si="3"/>
        <v>1</v>
      </c>
    </row>
    <row r="8" spans="1:11" x14ac:dyDescent="0.2">
      <c r="A8" s="12">
        <v>4</v>
      </c>
      <c r="B8" s="41">
        <f>141023328*C8/$C$9</f>
        <v>18305107.614129085</v>
      </c>
      <c r="C8" s="13">
        <v>9400000</v>
      </c>
      <c r="D8" s="14">
        <f t="shared" si="0"/>
        <v>0.51351787698557216</v>
      </c>
      <c r="E8" s="15">
        <v>9</v>
      </c>
      <c r="F8" s="16">
        <v>22222070.620000001</v>
      </c>
      <c r="G8" s="16">
        <v>10080660.26</v>
      </c>
      <c r="H8" s="14">
        <f t="shared" si="1"/>
        <v>0.45363280642836873</v>
      </c>
      <c r="I8" s="14">
        <f t="shared" si="2"/>
        <v>1.0724106659574468</v>
      </c>
      <c r="J8" s="17">
        <v>10080660.26</v>
      </c>
      <c r="K8" s="14">
        <f t="shared" si="3"/>
        <v>1</v>
      </c>
    </row>
    <row r="9" spans="1:11" x14ac:dyDescent="0.2">
      <c r="A9" s="20" t="s">
        <v>23</v>
      </c>
      <c r="B9" s="28">
        <v>141023328</v>
      </c>
      <c r="C9" s="21">
        <f>SUM(C4:C8)</f>
        <v>72418000</v>
      </c>
      <c r="D9" s="22">
        <f t="shared" si="0"/>
        <v>0.51351787698557216</v>
      </c>
      <c r="E9" s="23">
        <v>292</v>
      </c>
      <c r="F9" s="24">
        <v>142680910.28</v>
      </c>
      <c r="G9" s="21">
        <v>74027223.230000019</v>
      </c>
      <c r="H9" s="22">
        <f t="shared" si="1"/>
        <v>0.51883060659430502</v>
      </c>
      <c r="I9" s="22">
        <f t="shared" si="2"/>
        <v>1.022221315556906</v>
      </c>
      <c r="J9" s="25">
        <v>74027223.229999989</v>
      </c>
      <c r="K9" s="26">
        <f t="shared" si="3"/>
        <v>0.99999999999999956</v>
      </c>
    </row>
    <row r="10" spans="1:11" x14ac:dyDescent="0.2">
      <c r="A10" s="12">
        <v>5</v>
      </c>
      <c r="B10" s="41">
        <f>81432845*C10/$C$12</f>
        <v>55182845</v>
      </c>
      <c r="C10" s="13">
        <v>22073138</v>
      </c>
      <c r="D10" s="14">
        <f t="shared" si="0"/>
        <v>0.4</v>
      </c>
      <c r="E10" s="15">
        <v>9</v>
      </c>
      <c r="F10" s="16">
        <f>109364451.04-160142.7</f>
        <v>109204308.34</v>
      </c>
      <c r="G10" s="16">
        <f>22022416.44-128114.16</f>
        <v>21894302.280000001</v>
      </c>
      <c r="H10" s="14">
        <f t="shared" si="1"/>
        <v>0.20048936358658687</v>
      </c>
      <c r="I10" s="14">
        <f t="shared" si="2"/>
        <v>0.99189803823996392</v>
      </c>
      <c r="J10" s="16">
        <f>22022416.44-128114.16</f>
        <v>21894302.280000001</v>
      </c>
      <c r="K10" s="14">
        <f t="shared" si="3"/>
        <v>1</v>
      </c>
    </row>
    <row r="11" spans="1:11" x14ac:dyDescent="0.2">
      <c r="A11" s="12">
        <v>6</v>
      </c>
      <c r="B11" s="41">
        <f>81432845*C11/$C$12</f>
        <v>26250000</v>
      </c>
      <c r="C11" s="13">
        <v>10500000</v>
      </c>
      <c r="D11" s="14">
        <f t="shared" si="0"/>
        <v>0.4</v>
      </c>
      <c r="E11" s="15">
        <v>64</v>
      </c>
      <c r="F11" s="16">
        <v>18211416.789999999</v>
      </c>
      <c r="G11" s="16">
        <v>8992202.790000001</v>
      </c>
      <c r="H11" s="14">
        <f t="shared" si="1"/>
        <v>0.49376733802159067</v>
      </c>
      <c r="I11" s="14">
        <f t="shared" si="2"/>
        <v>0.85640026571428585</v>
      </c>
      <c r="J11" s="17">
        <v>8992202.790000001</v>
      </c>
      <c r="K11" s="14">
        <f t="shared" si="3"/>
        <v>1</v>
      </c>
    </row>
    <row r="12" spans="1:11" x14ac:dyDescent="0.2">
      <c r="A12" s="20" t="s">
        <v>26</v>
      </c>
      <c r="B12" s="28">
        <f>SUM(B10:B11)</f>
        <v>81432845</v>
      </c>
      <c r="C12" s="21">
        <f>SUM(C10:C11)</f>
        <v>32573138</v>
      </c>
      <c r="D12" s="22">
        <f t="shared" si="0"/>
        <v>0.4</v>
      </c>
      <c r="E12" s="23">
        <v>73</v>
      </c>
      <c r="F12" s="24">
        <f>SUM(F10:F11)</f>
        <v>127415725.13</v>
      </c>
      <c r="G12" s="24">
        <f>SUM(G10:G11)</f>
        <v>30886505.07</v>
      </c>
      <c r="H12" s="22">
        <f t="shared" si="1"/>
        <v>0.24240732482970254</v>
      </c>
      <c r="I12" s="22">
        <f t="shared" si="2"/>
        <v>0.94822012757874297</v>
      </c>
      <c r="J12" s="25">
        <f>SUM(J10:J11)</f>
        <v>30886505.07</v>
      </c>
      <c r="K12" s="26">
        <f t="shared" si="3"/>
        <v>1</v>
      </c>
    </row>
    <row r="13" spans="1:11" x14ac:dyDescent="0.2">
      <c r="A13" s="12">
        <v>7</v>
      </c>
      <c r="B13" s="41">
        <f>184346367*C13/$C$18</f>
        <v>62196579.831305109</v>
      </c>
      <c r="C13" s="13">
        <v>24878632</v>
      </c>
      <c r="D13" s="14">
        <f t="shared" si="0"/>
        <v>0.40000000108491424</v>
      </c>
      <c r="E13" s="15">
        <v>23</v>
      </c>
      <c r="F13" s="16">
        <v>96621638.079999998</v>
      </c>
      <c r="G13" s="16">
        <v>25257346.468907628</v>
      </c>
      <c r="H13" s="14">
        <f t="shared" si="1"/>
        <v>0.26140466018590219</v>
      </c>
      <c r="I13" s="14">
        <f t="shared" si="2"/>
        <v>1.0152224796326272</v>
      </c>
      <c r="J13" s="17">
        <v>25257346.468907628</v>
      </c>
      <c r="K13" s="14">
        <f t="shared" si="3"/>
        <v>1</v>
      </c>
    </row>
    <row r="14" spans="1:11" x14ac:dyDescent="0.2">
      <c r="A14" s="12">
        <v>8</v>
      </c>
      <c r="B14" s="41">
        <f>184346367*C14/$C$18</f>
        <v>49649787.365335599</v>
      </c>
      <c r="C14" s="13">
        <v>19859915</v>
      </c>
      <c r="D14" s="14">
        <f t="shared" si="0"/>
        <v>0.40000000108491424</v>
      </c>
      <c r="E14" s="15">
        <v>60</v>
      </c>
      <c r="F14" s="16">
        <v>68262566.479999989</v>
      </c>
      <c r="G14" s="16">
        <v>24067882.399999999</v>
      </c>
      <c r="H14" s="14">
        <f t="shared" si="1"/>
        <v>0.35257804739954457</v>
      </c>
      <c r="I14" s="14">
        <f t="shared" si="2"/>
        <v>1.2118824476338392</v>
      </c>
      <c r="J14" s="17">
        <v>24067882.404216867</v>
      </c>
      <c r="K14" s="14">
        <f t="shared" si="3"/>
        <v>1.0000000001752072</v>
      </c>
    </row>
    <row r="15" spans="1:11" x14ac:dyDescent="0.2">
      <c r="A15" s="12">
        <v>9</v>
      </c>
      <c r="B15" s="41">
        <f>184346367*C15/$C$18</f>
        <v>41749999.886762075</v>
      </c>
      <c r="C15" s="13">
        <v>16700000</v>
      </c>
      <c r="D15" s="14">
        <f t="shared" si="0"/>
        <v>0.40000000108491424</v>
      </c>
      <c r="E15" s="15">
        <v>4</v>
      </c>
      <c r="F15" s="16">
        <v>56224545.829999998</v>
      </c>
      <c r="G15" s="16">
        <v>13989120.940000001</v>
      </c>
      <c r="H15" s="14">
        <f t="shared" si="1"/>
        <v>0.24880807365340707</v>
      </c>
      <c r="I15" s="14">
        <f t="shared" si="2"/>
        <v>0.83767191257485041</v>
      </c>
      <c r="J15" s="17">
        <v>13989120.940000001</v>
      </c>
      <c r="K15" s="14">
        <f t="shared" si="3"/>
        <v>1</v>
      </c>
    </row>
    <row r="16" spans="1:11" x14ac:dyDescent="0.2">
      <c r="A16" s="12">
        <v>10</v>
      </c>
      <c r="B16" s="41">
        <f>184346367*C16/$C$18</f>
        <v>16999999.953891143</v>
      </c>
      <c r="C16" s="13">
        <v>6800000</v>
      </c>
      <c r="D16" s="14">
        <f t="shared" si="0"/>
        <v>0.40000000108491429</v>
      </c>
      <c r="E16" s="15">
        <v>14</v>
      </c>
      <c r="F16" s="16">
        <v>9812795.4900000002</v>
      </c>
      <c r="G16" s="16">
        <v>5099647.53</v>
      </c>
      <c r="H16" s="14">
        <f t="shared" si="1"/>
        <v>0.51969365255771782</v>
      </c>
      <c r="I16" s="14">
        <f t="shared" si="2"/>
        <v>0.74994816617647064</v>
      </c>
      <c r="J16" s="17">
        <v>5099647.5300000012</v>
      </c>
      <c r="K16" s="14">
        <f t="shared" si="3"/>
        <v>1.0000000000000002</v>
      </c>
    </row>
    <row r="17" spans="1:11" x14ac:dyDescent="0.2">
      <c r="A17" s="12">
        <v>11</v>
      </c>
      <c r="B17" s="41">
        <f>184346367*C17/$C$18</f>
        <v>13749999.962706072</v>
      </c>
      <c r="C17" s="13">
        <v>5500000</v>
      </c>
      <c r="D17" s="14">
        <f t="shared" si="0"/>
        <v>0.40000000108491429</v>
      </c>
      <c r="E17" s="15">
        <v>14</v>
      </c>
      <c r="F17" s="16">
        <v>15122933.92</v>
      </c>
      <c r="G17" s="16">
        <v>5213799.8177390583</v>
      </c>
      <c r="H17" s="14">
        <f t="shared" si="1"/>
        <v>0.34476113202107139</v>
      </c>
      <c r="I17" s="14">
        <f t="shared" si="2"/>
        <v>0.94796360322528328</v>
      </c>
      <c r="J17" s="17">
        <v>5213799.82</v>
      </c>
      <c r="K17" s="14">
        <f t="shared" si="3"/>
        <v>1.0000000004336458</v>
      </c>
    </row>
    <row r="18" spans="1:11" x14ac:dyDescent="0.2">
      <c r="A18" s="20" t="s">
        <v>29</v>
      </c>
      <c r="B18" s="28">
        <f>SUM(B13:B17)</f>
        <v>184346366.99999997</v>
      </c>
      <c r="C18" s="21">
        <f>SUM(C13:C17)</f>
        <v>73738547</v>
      </c>
      <c r="D18" s="22">
        <f t="shared" si="0"/>
        <v>0.40000000108491429</v>
      </c>
      <c r="E18" s="23">
        <v>115</v>
      </c>
      <c r="F18" s="24">
        <v>246044479.79999998</v>
      </c>
      <c r="G18" s="21">
        <v>73627797.156646684</v>
      </c>
      <c r="H18" s="22">
        <f t="shared" si="1"/>
        <v>0.29924588113700362</v>
      </c>
      <c r="I18" s="22">
        <f t="shared" si="2"/>
        <v>0.99849807396729262</v>
      </c>
      <c r="J18" s="25">
        <v>73627797.163124502</v>
      </c>
      <c r="K18" s="26">
        <f t="shared" si="3"/>
        <v>1.0000000000879805</v>
      </c>
    </row>
    <row r="19" spans="1:11" x14ac:dyDescent="0.2">
      <c r="A19" s="12">
        <v>12</v>
      </c>
      <c r="B19" s="41">
        <v>65869709</v>
      </c>
      <c r="C19" s="13">
        <v>39521825</v>
      </c>
      <c r="D19" s="14">
        <f t="shared" si="0"/>
        <v>0.59999999392740599</v>
      </c>
      <c r="E19" s="15">
        <v>10</v>
      </c>
      <c r="F19" s="16">
        <v>69169162.269999981</v>
      </c>
      <c r="G19" s="16">
        <v>41371546.09799999</v>
      </c>
      <c r="H19" s="14">
        <f t="shared" si="1"/>
        <v>0.59812125433162344</v>
      </c>
      <c r="I19" s="14">
        <f t="shared" si="2"/>
        <v>1.0468025223531552</v>
      </c>
      <c r="J19" s="17">
        <v>41371546.09799999</v>
      </c>
      <c r="K19" s="14">
        <f t="shared" si="3"/>
        <v>1</v>
      </c>
    </row>
    <row r="20" spans="1:11" x14ac:dyDescent="0.2">
      <c r="A20" s="20" t="s">
        <v>32</v>
      </c>
      <c r="B20" s="28">
        <f>B19</f>
        <v>65869709</v>
      </c>
      <c r="C20" s="21">
        <f>C19</f>
        <v>39521825</v>
      </c>
      <c r="D20" s="22">
        <f t="shared" si="0"/>
        <v>0.59999999392740599</v>
      </c>
      <c r="E20" s="34">
        <v>10</v>
      </c>
      <c r="F20" s="24">
        <v>69169162.269999981</v>
      </c>
      <c r="G20" s="21">
        <v>41371546.09799999</v>
      </c>
      <c r="H20" s="22">
        <f t="shared" si="1"/>
        <v>0.59812125433162344</v>
      </c>
      <c r="I20" s="22">
        <f t="shared" si="2"/>
        <v>1.0468025223531552</v>
      </c>
      <c r="J20" s="25">
        <v>41371546.09799999</v>
      </c>
      <c r="K20" s="26">
        <f t="shared" si="3"/>
        <v>1</v>
      </c>
    </row>
    <row r="21" spans="1:11" x14ac:dyDescent="0.2">
      <c r="A21" s="12">
        <v>13</v>
      </c>
      <c r="B21" s="41">
        <f>C21/0.599999963014</f>
        <v>10814868.999997906</v>
      </c>
      <c r="C21" s="13">
        <v>6488921</v>
      </c>
      <c r="D21" s="14">
        <f t="shared" si="0"/>
        <v>0.59999996301400005</v>
      </c>
      <c r="E21" s="15">
        <v>5</v>
      </c>
      <c r="F21" s="16">
        <v>12533266.57</v>
      </c>
      <c r="G21" s="16">
        <v>7519959.8300000001</v>
      </c>
      <c r="H21" s="14">
        <f t="shared" si="1"/>
        <v>0.59999999106378221</v>
      </c>
      <c r="I21" s="14">
        <f t="shared" si="2"/>
        <v>1.1588921840780617</v>
      </c>
      <c r="J21" s="17">
        <v>7519959.8300000001</v>
      </c>
      <c r="K21" s="14">
        <f t="shared" si="3"/>
        <v>1</v>
      </c>
    </row>
    <row r="22" spans="1:11" x14ac:dyDescent="0.2">
      <c r="A22" s="20" t="s">
        <v>35</v>
      </c>
      <c r="B22" s="28">
        <f>B21</f>
        <v>10814868.999997906</v>
      </c>
      <c r="C22" s="21">
        <f>C21</f>
        <v>6488921</v>
      </c>
      <c r="D22" s="22">
        <f t="shared" si="0"/>
        <v>0.59999996301400005</v>
      </c>
      <c r="E22" s="34">
        <v>5</v>
      </c>
      <c r="F22" s="24">
        <v>12533266.57</v>
      </c>
      <c r="G22" s="21">
        <v>7519959.8300000001</v>
      </c>
      <c r="H22" s="22">
        <f t="shared" si="1"/>
        <v>0.59999999106378221</v>
      </c>
      <c r="I22" s="22">
        <f t="shared" si="2"/>
        <v>1.1588921840780617</v>
      </c>
      <c r="J22" s="25">
        <v>7519959.8300000001</v>
      </c>
      <c r="K22" s="26">
        <f t="shared" si="3"/>
        <v>1</v>
      </c>
    </row>
    <row r="23" spans="1:11" x14ac:dyDescent="0.2">
      <c r="A23" s="12">
        <v>14</v>
      </c>
      <c r="B23" s="41">
        <v>2512615</v>
      </c>
      <c r="C23" s="13">
        <v>1507569</v>
      </c>
      <c r="D23" s="14">
        <f t="shared" si="0"/>
        <v>0.6</v>
      </c>
      <c r="E23" s="15">
        <v>3</v>
      </c>
      <c r="F23" s="16">
        <v>2660302.7800000003</v>
      </c>
      <c r="G23" s="16">
        <v>1596181.65</v>
      </c>
      <c r="H23" s="14">
        <f t="shared" si="1"/>
        <v>0.59999999323385278</v>
      </c>
      <c r="I23" s="14">
        <f t="shared" si="2"/>
        <v>1.0587785036704787</v>
      </c>
      <c r="J23" s="17">
        <v>1596181.65</v>
      </c>
      <c r="K23" s="14">
        <f t="shared" si="3"/>
        <v>1</v>
      </c>
    </row>
    <row r="24" spans="1:11" x14ac:dyDescent="0.2">
      <c r="A24" s="20" t="s">
        <v>38</v>
      </c>
      <c r="B24" s="28">
        <f>B23</f>
        <v>2512615</v>
      </c>
      <c r="C24" s="21">
        <f>C23</f>
        <v>1507569</v>
      </c>
      <c r="D24" s="22">
        <f t="shared" si="0"/>
        <v>0.6</v>
      </c>
      <c r="E24" s="34">
        <v>3</v>
      </c>
      <c r="F24" s="24">
        <v>2660302.7800000003</v>
      </c>
      <c r="G24" s="21">
        <v>1596181.65</v>
      </c>
      <c r="H24" s="22">
        <f t="shared" si="1"/>
        <v>0.59999999323385278</v>
      </c>
      <c r="I24" s="22">
        <f t="shared" si="2"/>
        <v>1.0587785036704787</v>
      </c>
      <c r="J24" s="25">
        <v>1596181.65</v>
      </c>
      <c r="K24" s="26">
        <f t="shared" si="3"/>
        <v>1</v>
      </c>
    </row>
    <row r="25" spans="1:11" x14ac:dyDescent="0.2">
      <c r="A25" s="12">
        <v>15</v>
      </c>
      <c r="B25" s="41">
        <v>970000</v>
      </c>
      <c r="C25" s="13">
        <v>582000</v>
      </c>
      <c r="D25" s="14">
        <f t="shared" si="0"/>
        <v>0.6</v>
      </c>
      <c r="E25" s="15">
        <v>1</v>
      </c>
      <c r="F25" s="16">
        <v>824183.1</v>
      </c>
      <c r="G25" s="16">
        <v>659346.48</v>
      </c>
      <c r="H25" s="14">
        <f t="shared" si="1"/>
        <v>0.8</v>
      </c>
      <c r="I25" s="14">
        <f t="shared" si="2"/>
        <v>1.1328977319587628</v>
      </c>
      <c r="J25" s="17">
        <v>659346.48</v>
      </c>
      <c r="K25" s="14">
        <f t="shared" si="3"/>
        <v>1</v>
      </c>
    </row>
    <row r="26" spans="1:11" x14ac:dyDescent="0.2">
      <c r="A26" s="20" t="s">
        <v>40</v>
      </c>
      <c r="B26" s="28">
        <f>B25</f>
        <v>970000</v>
      </c>
      <c r="C26" s="21">
        <f>C25</f>
        <v>582000</v>
      </c>
      <c r="D26" s="22">
        <f t="shared" si="0"/>
        <v>0.6</v>
      </c>
      <c r="E26" s="34">
        <v>1</v>
      </c>
      <c r="F26" s="24">
        <v>824183.1</v>
      </c>
      <c r="G26" s="21">
        <v>659346.48</v>
      </c>
      <c r="H26" s="22">
        <f t="shared" si="1"/>
        <v>0.8</v>
      </c>
      <c r="I26" s="22">
        <f t="shared" si="2"/>
        <v>1.1328977319587628</v>
      </c>
      <c r="J26" s="25">
        <v>659346.48</v>
      </c>
      <c r="K26" s="26">
        <f t="shared" si="3"/>
        <v>1</v>
      </c>
    </row>
    <row r="27" spans="1:11" x14ac:dyDescent="0.2">
      <c r="A27" s="12" t="s">
        <v>51</v>
      </c>
      <c r="B27" s="13">
        <f>$B$11*C27/$C$11</f>
        <v>42500000</v>
      </c>
      <c r="C27" s="13">
        <v>17000000</v>
      </c>
      <c r="D27" s="14">
        <v>0.7</v>
      </c>
      <c r="E27" s="15">
        <v>6</v>
      </c>
      <c r="F27" s="16">
        <v>35098280.620000005</v>
      </c>
      <c r="G27" s="16">
        <v>22006887.249999996</v>
      </c>
      <c r="H27" s="14">
        <f>G27/F27</f>
        <v>0.62700755881072534</v>
      </c>
      <c r="I27" s="14">
        <f>G27/C27</f>
        <v>1.2945227794117644</v>
      </c>
      <c r="J27" s="18">
        <v>22006887.249999996</v>
      </c>
      <c r="K27" s="14">
        <f t="shared" si="3"/>
        <v>1</v>
      </c>
    </row>
    <row r="28" spans="1:11" x14ac:dyDescent="0.2">
      <c r="A28" s="12" t="s">
        <v>52</v>
      </c>
      <c r="B28" s="13">
        <f t="shared" ref="B28:B32" si="4">$B$11*C28/$C$11</f>
        <v>62500000</v>
      </c>
      <c r="C28" s="13">
        <v>25000000</v>
      </c>
      <c r="D28" s="14">
        <v>0.7</v>
      </c>
      <c r="E28" s="15">
        <v>27</v>
      </c>
      <c r="F28" s="16">
        <v>20686323.039999999</v>
      </c>
      <c r="G28" s="16">
        <v>17932419.020000003</v>
      </c>
      <c r="H28" s="14">
        <f t="shared" ref="H28:H34" si="5">G28/F28</f>
        <v>0.86687319855370504</v>
      </c>
      <c r="I28" s="14">
        <f t="shared" ref="I28:I35" si="6">G28/C28</f>
        <v>0.71729676080000015</v>
      </c>
      <c r="J28" s="18">
        <v>17932419.020000003</v>
      </c>
      <c r="K28" s="14">
        <f t="shared" si="3"/>
        <v>1</v>
      </c>
    </row>
    <row r="29" spans="1:11" x14ac:dyDescent="0.2">
      <c r="A29" s="12" t="s">
        <v>53</v>
      </c>
      <c r="B29" s="13">
        <f t="shared" si="4"/>
        <v>117442500</v>
      </c>
      <c r="C29" s="13">
        <v>46977000</v>
      </c>
      <c r="D29" s="14">
        <v>0.7</v>
      </c>
      <c r="E29" s="15">
        <v>6</v>
      </c>
      <c r="F29" s="16">
        <v>82263960.139999986</v>
      </c>
      <c r="G29" s="16">
        <v>65808470.469999999</v>
      </c>
      <c r="H29" s="14">
        <f t="shared" si="5"/>
        <v>0.79996720748678518</v>
      </c>
      <c r="I29" s="14">
        <f t="shared" si="6"/>
        <v>1.4008657528152073</v>
      </c>
      <c r="J29" s="18">
        <v>65808470.469999999</v>
      </c>
      <c r="K29" s="14">
        <f t="shared" si="3"/>
        <v>1</v>
      </c>
    </row>
    <row r="30" spans="1:11" x14ac:dyDescent="0.2">
      <c r="A30" s="12" t="s">
        <v>58</v>
      </c>
      <c r="B30" s="13">
        <f t="shared" si="4"/>
        <v>27040000</v>
      </c>
      <c r="C30" s="13">
        <v>10816000</v>
      </c>
      <c r="D30" s="14">
        <v>0.7</v>
      </c>
      <c r="E30" s="15">
        <v>9</v>
      </c>
      <c r="F30" s="16">
        <v>43233329.400000006</v>
      </c>
      <c r="G30" s="16">
        <v>7048867.04</v>
      </c>
      <c r="H30" s="14">
        <f t="shared" si="5"/>
        <v>0.16304242902005134</v>
      </c>
      <c r="I30" s="14">
        <f t="shared" si="6"/>
        <v>0.65170738165680475</v>
      </c>
      <c r="J30" s="18">
        <v>7048867.04</v>
      </c>
      <c r="K30" s="14">
        <f t="shared" si="3"/>
        <v>1</v>
      </c>
    </row>
    <row r="31" spans="1:11" x14ac:dyDescent="0.2">
      <c r="A31" s="12" t="s">
        <v>54</v>
      </c>
      <c r="B31" s="13">
        <f t="shared" si="4"/>
        <v>29935000</v>
      </c>
      <c r="C31" s="13">
        <v>11974000</v>
      </c>
      <c r="D31" s="14">
        <v>0.7</v>
      </c>
      <c r="E31" s="15">
        <v>7</v>
      </c>
      <c r="F31" s="16">
        <v>11781804.279999997</v>
      </c>
      <c r="G31" s="16">
        <v>5951740.1799999997</v>
      </c>
      <c r="H31" s="14">
        <f t="shared" si="5"/>
        <v>0.50516372862374526</v>
      </c>
      <c r="I31" s="14">
        <f t="shared" si="6"/>
        <v>0.49705530148655419</v>
      </c>
      <c r="J31" s="18">
        <v>5951740.1799999988</v>
      </c>
      <c r="K31" s="14">
        <f t="shared" si="3"/>
        <v>0.99999999999999989</v>
      </c>
    </row>
    <row r="32" spans="1:11" x14ac:dyDescent="0.2">
      <c r="A32" s="12" t="s">
        <v>55</v>
      </c>
      <c r="B32" s="13">
        <f t="shared" si="4"/>
        <v>5065000</v>
      </c>
      <c r="C32" s="13">
        <v>2026000</v>
      </c>
      <c r="D32" s="14">
        <v>0.7</v>
      </c>
      <c r="E32" s="15">
        <v>2</v>
      </c>
      <c r="F32" s="16">
        <v>3405583.67</v>
      </c>
      <c r="G32" s="16">
        <v>1922791.8399999999</v>
      </c>
      <c r="H32" s="14">
        <f>G32/F32</f>
        <v>0.56459979443112607</v>
      </c>
      <c r="I32" s="14">
        <f t="shared" si="6"/>
        <v>0.94905816386969388</v>
      </c>
      <c r="J32" s="18">
        <v>1922791.8399999999</v>
      </c>
      <c r="K32" s="14">
        <f t="shared" si="3"/>
        <v>1</v>
      </c>
    </row>
    <row r="33" spans="1:11" x14ac:dyDescent="0.2">
      <c r="A33" s="20" t="s">
        <v>42</v>
      </c>
      <c r="B33" s="21">
        <v>162561428</v>
      </c>
      <c r="C33" s="21">
        <f>SUM(C27:C32)</f>
        <v>113793000</v>
      </c>
      <c r="D33" s="22">
        <f>C33/B33</f>
        <v>0.70000000246060834</v>
      </c>
      <c r="E33" s="23">
        <v>57</v>
      </c>
      <c r="F33" s="24">
        <v>196469281.14999998</v>
      </c>
      <c r="G33" s="21">
        <v>120671175.80000001</v>
      </c>
      <c r="H33" s="22">
        <f t="shared" si="5"/>
        <v>0.6141986935243593</v>
      </c>
      <c r="I33" s="22">
        <f t="shared" si="6"/>
        <v>1.0604446301617851</v>
      </c>
      <c r="J33" s="25">
        <v>120671175.79999998</v>
      </c>
      <c r="K33" s="26">
        <f t="shared" si="3"/>
        <v>0.99999999999999978</v>
      </c>
    </row>
    <row r="34" spans="1:11" x14ac:dyDescent="0.2">
      <c r="A34" s="12" t="s">
        <v>56</v>
      </c>
      <c r="B34" s="13">
        <v>3854242</v>
      </c>
      <c r="C34" s="13">
        <v>1927121</v>
      </c>
      <c r="D34" s="14">
        <f>C34/B34</f>
        <v>0.5</v>
      </c>
      <c r="E34" s="15">
        <v>1</v>
      </c>
      <c r="F34" s="16">
        <v>3885238.2900000005</v>
      </c>
      <c r="G34" s="16">
        <v>1942619.1400000001</v>
      </c>
      <c r="H34" s="14">
        <f t="shared" si="5"/>
        <v>0.4999999987130776</v>
      </c>
      <c r="I34" s="14">
        <f t="shared" si="6"/>
        <v>1.0080421208631944</v>
      </c>
      <c r="J34" s="18">
        <v>1942619.1400000001</v>
      </c>
      <c r="K34" s="14">
        <f t="shared" si="3"/>
        <v>1</v>
      </c>
    </row>
    <row r="35" spans="1:11" x14ac:dyDescent="0.2">
      <c r="A35" s="20" t="s">
        <v>44</v>
      </c>
      <c r="B35" s="21">
        <f>SUM(B34:B34)</f>
        <v>3854242</v>
      </c>
      <c r="C35" s="21">
        <f>SUM(C34:C34)</f>
        <v>1927121</v>
      </c>
      <c r="D35" s="22">
        <f>C35/B35</f>
        <v>0.5</v>
      </c>
      <c r="E35" s="23">
        <v>1</v>
      </c>
      <c r="F35" s="24">
        <v>3885238.2900000005</v>
      </c>
      <c r="G35" s="21">
        <v>1942619.1400000001</v>
      </c>
      <c r="H35" s="22">
        <f>G35/F35</f>
        <v>0.4999999987130776</v>
      </c>
      <c r="I35" s="22">
        <f t="shared" si="6"/>
        <v>1.0080421208631944</v>
      </c>
      <c r="J35" s="25">
        <v>1942619.1400000001</v>
      </c>
      <c r="K35" s="26">
        <f t="shared" si="3"/>
        <v>1</v>
      </c>
    </row>
    <row r="36" spans="1:11" x14ac:dyDescent="0.2">
      <c r="A36" s="12"/>
      <c r="B36" s="42"/>
      <c r="C36" s="13"/>
      <c r="D36" s="27"/>
      <c r="E36" s="15"/>
      <c r="F36" s="19"/>
      <c r="H36" s="14"/>
      <c r="I36" s="14"/>
      <c r="J36" s="16"/>
      <c r="K36" s="14"/>
    </row>
    <row r="37" spans="1:11" x14ac:dyDescent="0.2">
      <c r="A37" s="20" t="s">
        <v>45</v>
      </c>
      <c r="B37" s="21">
        <f>SUM(B9,B12,B18,B22)</f>
        <v>417617408.99999791</v>
      </c>
      <c r="C37" s="21">
        <f>SUM(C9,C12,C18,C22)</f>
        <v>185218606</v>
      </c>
      <c r="D37" s="22">
        <f>C37/B37</f>
        <v>0.44351265538358081</v>
      </c>
      <c r="E37" s="34">
        <v>485</v>
      </c>
      <c r="F37" s="24">
        <f>SUM(F9,F12,F18,F22)</f>
        <v>528674381.77999991</v>
      </c>
      <c r="G37" s="24">
        <f>SUM(G9,G12,G18,G22)</f>
        <v>186061485.28664669</v>
      </c>
      <c r="H37" s="22">
        <f>G37/F37</f>
        <v>0.35193966588695696</v>
      </c>
      <c r="I37" s="22">
        <f t="shared" si="2"/>
        <v>1.0045507268672926</v>
      </c>
      <c r="J37" s="35">
        <f>SUM(J9,J12,J18,J22)</f>
        <v>186061485.2931245</v>
      </c>
      <c r="K37" s="26">
        <f t="shared" si="3"/>
        <v>1.0000000000348155</v>
      </c>
    </row>
    <row r="38" spans="1:11" x14ac:dyDescent="0.2">
      <c r="A38" s="20" t="s">
        <v>47</v>
      </c>
      <c r="B38" s="21">
        <f>SUM(B20,B24,B26)</f>
        <v>69352324</v>
      </c>
      <c r="C38" s="21">
        <f>SUM(C20,C24,C26)</f>
        <v>41611394</v>
      </c>
      <c r="D38" s="22">
        <f>C38/B38</f>
        <v>0.59999999423234907</v>
      </c>
      <c r="E38" s="34">
        <v>14</v>
      </c>
      <c r="F38" s="21">
        <v>72653648.149999976</v>
      </c>
      <c r="G38" s="21">
        <v>43627074.227999985</v>
      </c>
      <c r="H38" s="22">
        <f>G38/F38</f>
        <v>0.60048015948115885</v>
      </c>
      <c r="I38" s="22">
        <f t="shared" si="2"/>
        <v>1.0484405840381119</v>
      </c>
      <c r="J38" s="35">
        <v>43627074.227999985</v>
      </c>
      <c r="K38" s="44">
        <f t="shared" si="3"/>
        <v>1</v>
      </c>
    </row>
    <row r="39" spans="1:11" x14ac:dyDescent="0.2">
      <c r="A39" s="20" t="s">
        <v>57</v>
      </c>
      <c r="B39" s="21">
        <f>SUM(B33,B35)</f>
        <v>166415670</v>
      </c>
      <c r="C39" s="21">
        <f>SUM(C33,C35)</f>
        <v>115720121</v>
      </c>
      <c r="D39" s="22">
        <f>C39/B39</f>
        <v>0.69536793620456538</v>
      </c>
      <c r="E39" s="34">
        <v>58</v>
      </c>
      <c r="F39" s="21">
        <f t="shared" ref="F39:G39" si="7">SUM(F33,F35)</f>
        <v>200354519.43999997</v>
      </c>
      <c r="G39" s="21">
        <f t="shared" si="7"/>
        <v>122613794.94000001</v>
      </c>
      <c r="H39" s="22">
        <f>G39/F39</f>
        <v>0.6119841732680209</v>
      </c>
      <c r="I39" s="22">
        <f t="shared" ref="I39" si="8">G39/C39</f>
        <v>1.0595719558571841</v>
      </c>
      <c r="J39" s="35">
        <f t="shared" ref="J39" si="9">SUM(J33,J35)</f>
        <v>122613794.93999998</v>
      </c>
      <c r="K39" s="44">
        <f t="shared" si="3"/>
        <v>0.99999999999999978</v>
      </c>
    </row>
    <row r="40" spans="1:11" x14ac:dyDescent="0.2">
      <c r="A40" s="12"/>
      <c r="B40" s="19"/>
      <c r="C40" s="16"/>
      <c r="D40" s="27"/>
      <c r="E40" s="37"/>
      <c r="F40" s="19"/>
      <c r="H40" s="14"/>
      <c r="I40" s="14"/>
      <c r="J40" s="16"/>
      <c r="K40" s="14"/>
    </row>
    <row r="41" spans="1:11" x14ac:dyDescent="0.2">
      <c r="A41" s="20" t="s">
        <v>48</v>
      </c>
      <c r="B41" s="21">
        <f>SUM(B37:B39)</f>
        <v>653385402.99999785</v>
      </c>
      <c r="C41" s="21">
        <f>SUM(C37:C39)</f>
        <v>342550121</v>
      </c>
      <c r="D41" s="22">
        <f>C41/B41</f>
        <v>0.52426962620712403</v>
      </c>
      <c r="E41" s="34">
        <v>557</v>
      </c>
      <c r="F41" s="21">
        <f t="shared" ref="F41:G41" si="10">SUM(F37:F39)</f>
        <v>801682549.36999977</v>
      </c>
      <c r="G41" s="21">
        <f t="shared" si="10"/>
        <v>352302354.45464671</v>
      </c>
      <c r="H41" s="22">
        <f>G41/F41</f>
        <v>0.43945368990693717</v>
      </c>
      <c r="I41" s="22">
        <f t="shared" si="2"/>
        <v>1.0284695081297219</v>
      </c>
      <c r="J41" s="35">
        <f>SUM(J37:J39)</f>
        <v>352302354.46112448</v>
      </c>
      <c r="K41" s="26">
        <f t="shared" si="3"/>
        <v>1.0000000000183871</v>
      </c>
    </row>
    <row r="42" spans="1:11" x14ac:dyDescent="0.2">
      <c r="A42" s="46" t="s">
        <v>60</v>
      </c>
      <c r="B42" s="47">
        <f>SUM(B37:B38)</f>
        <v>486969732.99999791</v>
      </c>
      <c r="C42" s="47">
        <f>SUM(C37:C38)</f>
        <v>226830000</v>
      </c>
      <c r="D42" s="48">
        <f>C42/B42</f>
        <v>0.46579896989203839</v>
      </c>
      <c r="E42" s="49">
        <f>SUM(E37:E38)</f>
        <v>499</v>
      </c>
      <c r="F42" s="47">
        <f>SUM(F37:F38)</f>
        <v>601328029.92999983</v>
      </c>
      <c r="G42" s="47">
        <f>SUM(G37:G38)</f>
        <v>229688559.51464668</v>
      </c>
      <c r="H42" s="48">
        <f>G42/F42</f>
        <v>0.38196882247678454</v>
      </c>
      <c r="I42" s="48">
        <f t="shared" ref="I42" si="11">G42/C42</f>
        <v>1.0126022109714177</v>
      </c>
      <c r="J42" s="50">
        <f>SUM(J37:J38)</f>
        <v>229688559.52112448</v>
      </c>
      <c r="K42" s="51">
        <f t="shared" si="3"/>
        <v>1.0000000000282026</v>
      </c>
    </row>
    <row r="45" spans="1:11" x14ac:dyDescent="0.2">
      <c r="A45" s="20" t="s">
        <v>45</v>
      </c>
      <c r="B45" s="21">
        <v>465153699</v>
      </c>
      <c r="C45" s="21">
        <v>223578976</v>
      </c>
      <c r="D45" s="22">
        <v>0.48065612824461273</v>
      </c>
      <c r="E45" s="34">
        <v>572</v>
      </c>
      <c r="F45" s="24">
        <v>569467570.27950001</v>
      </c>
      <c r="G45" s="24">
        <v>219106138.5959</v>
      </c>
      <c r="H45" s="22">
        <v>0.3847561301662194</v>
      </c>
      <c r="I45" s="22">
        <v>0.97999437387127131</v>
      </c>
      <c r="J45" s="35">
        <v>219106138.61445385</v>
      </c>
      <c r="K45" s="26">
        <v>1.0000000000846798</v>
      </c>
    </row>
    <row r="46" spans="1:11" x14ac:dyDescent="0.2">
      <c r="A46" s="20" t="s">
        <v>46</v>
      </c>
      <c r="B46" s="21">
        <v>36493089</v>
      </c>
      <c r="C46" s="21">
        <v>24328726</v>
      </c>
      <c r="D46" s="22">
        <v>0.66666666666666663</v>
      </c>
      <c r="E46" s="34">
        <v>8</v>
      </c>
      <c r="F46" s="24">
        <v>38504480.890000008</v>
      </c>
      <c r="G46" s="24">
        <v>22513657.860000003</v>
      </c>
      <c r="H46" s="22">
        <v>0.58470228242570654</v>
      </c>
      <c r="I46" s="22">
        <v>0.92539403255230068</v>
      </c>
      <c r="J46" s="35">
        <v>22513657.860000003</v>
      </c>
      <c r="K46" s="26">
        <v>1</v>
      </c>
    </row>
    <row r="47" spans="1:11" x14ac:dyDescent="0.2">
      <c r="A47" s="20" t="s">
        <v>47</v>
      </c>
      <c r="B47" s="21">
        <v>91873322</v>
      </c>
      <c r="C47" s="21">
        <v>45936661</v>
      </c>
      <c r="D47" s="22">
        <v>0.5</v>
      </c>
      <c r="E47" s="34">
        <v>41</v>
      </c>
      <c r="F47" s="24">
        <v>97825601.560000017</v>
      </c>
      <c r="G47" s="24">
        <v>49854325.935000002</v>
      </c>
      <c r="H47" s="22">
        <v>0.50962452711750028</v>
      </c>
      <c r="I47" s="22">
        <v>1.0852840596098181</v>
      </c>
      <c r="J47" s="35">
        <v>49854325.930000007</v>
      </c>
      <c r="K47" s="26">
        <v>0.99999999989970789</v>
      </c>
    </row>
    <row r="49" spans="1:11" x14ac:dyDescent="0.2">
      <c r="A49" s="20" t="s">
        <v>48</v>
      </c>
      <c r="B49" s="21">
        <v>593520110</v>
      </c>
      <c r="C49" s="21">
        <v>293844363</v>
      </c>
      <c r="D49" s="22">
        <v>0.49508745878888588</v>
      </c>
      <c r="E49" s="34">
        <v>621</v>
      </c>
      <c r="F49" s="21">
        <v>705797652.72950006</v>
      </c>
      <c r="G49" s="21">
        <v>291474122.39090002</v>
      </c>
      <c r="H49" s="22">
        <v>0.4129712266167152</v>
      </c>
      <c r="I49" s="22">
        <v>0.99193368698687612</v>
      </c>
      <c r="J49" s="35">
        <v>291474122.40445387</v>
      </c>
      <c r="K49" s="26">
        <v>1.000000000046501</v>
      </c>
    </row>
    <row r="51" spans="1:11" x14ac:dyDescent="0.2">
      <c r="A51" s="20" t="s">
        <v>59</v>
      </c>
      <c r="B51" s="21">
        <f>B41+B49</f>
        <v>1246905512.9999979</v>
      </c>
      <c r="C51" s="21">
        <f>C41+C49</f>
        <v>636394484</v>
      </c>
      <c r="D51" s="22">
        <f>C51/B51</f>
        <v>0.51037907633342949</v>
      </c>
      <c r="E51" s="34">
        <f>E41+E49</f>
        <v>1178</v>
      </c>
      <c r="F51" s="21">
        <f>F41+F49</f>
        <v>1507480202.0994997</v>
      </c>
      <c r="G51" s="21">
        <f>G41+G49</f>
        <v>643776476.84554672</v>
      </c>
      <c r="H51" s="22">
        <f>G51/F51</f>
        <v>0.42705468101600641</v>
      </c>
      <c r="I51" s="22">
        <f t="shared" ref="I51" si="12">G51/C51</f>
        <v>1.0115997121771827</v>
      </c>
      <c r="J51" s="35">
        <f>J41+J49</f>
        <v>643776476.86557841</v>
      </c>
      <c r="K51" s="26">
        <f t="shared" ref="K51" si="13">J51/G51</f>
        <v>1.000000000031116</v>
      </c>
    </row>
    <row r="54" spans="1:11" x14ac:dyDescent="0.2">
      <c r="G54" s="45"/>
    </row>
    <row r="55" spans="1:11" x14ac:dyDescent="0.2">
      <c r="G55" s="45"/>
    </row>
  </sheetData>
  <mergeCells count="4">
    <mergeCell ref="A1:K1"/>
    <mergeCell ref="B2:D2"/>
    <mergeCell ref="E2:H2"/>
    <mergeCell ref="J2:K2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245FF-9A68-4682-8FCB-D301B5EAB504}">
  <sheetPr>
    <pageSetUpPr fitToPage="1"/>
  </sheetPr>
  <dimension ref="A1:K42"/>
  <sheetViews>
    <sheetView zoomScale="80" zoomScaleNormal="80" workbookViewId="0">
      <selection activeCell="B36" sqref="B36"/>
    </sheetView>
  </sheetViews>
  <sheetFormatPr baseColWidth="10" defaultColWidth="10.5703125" defaultRowHeight="14.25" x14ac:dyDescent="0.2"/>
  <cols>
    <col min="1" max="1" width="14.5703125" style="38" customWidth="1"/>
    <col min="2" max="2" width="18.42578125" style="38" customWidth="1"/>
    <col min="3" max="3" width="18.42578125" style="39" customWidth="1"/>
    <col min="4" max="4" width="9.42578125" style="39" customWidth="1"/>
    <col min="5" max="5" width="8.42578125" style="39" customWidth="1"/>
    <col min="6" max="7" width="18.42578125" style="36" customWidth="1"/>
    <col min="8" max="8" width="7.85546875" style="1" bestFit="1" customWidth="1"/>
    <col min="9" max="9" width="9.42578125" style="1" customWidth="1"/>
    <col min="10" max="10" width="18.42578125" style="1" customWidth="1"/>
    <col min="11" max="11" width="12.42578125" style="1" customWidth="1"/>
    <col min="12" max="16384" width="10.5703125" style="1"/>
  </cols>
  <sheetData>
    <row r="1" spans="1:11" s="2" customFormat="1" ht="28.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s="2" customFormat="1" ht="28.5" customHeight="1" x14ac:dyDescent="0.2">
      <c r="A2" s="3"/>
      <c r="B2" s="53" t="s">
        <v>1</v>
      </c>
      <c r="C2" s="52"/>
      <c r="D2" s="54"/>
      <c r="E2" s="52" t="s">
        <v>2</v>
      </c>
      <c r="F2" s="52"/>
      <c r="G2" s="52"/>
      <c r="H2" s="52"/>
      <c r="I2" s="52"/>
      <c r="J2" s="55" t="s">
        <v>3</v>
      </c>
      <c r="K2" s="57"/>
    </row>
    <row r="3" spans="1:11" s="11" customFormat="1" ht="53.85" customHeight="1" x14ac:dyDescent="0.25">
      <c r="A3" s="5" t="s">
        <v>4</v>
      </c>
      <c r="B3" s="6" t="s">
        <v>5</v>
      </c>
      <c r="C3" s="7" t="s">
        <v>6</v>
      </c>
      <c r="D3" s="7" t="s">
        <v>7</v>
      </c>
      <c r="E3" s="8" t="s">
        <v>8</v>
      </c>
      <c r="F3" s="7" t="s">
        <v>9</v>
      </c>
      <c r="G3" s="7" t="s">
        <v>10</v>
      </c>
      <c r="H3" s="6" t="s">
        <v>11</v>
      </c>
      <c r="I3" s="9" t="s">
        <v>12</v>
      </c>
      <c r="J3" s="10" t="s">
        <v>13</v>
      </c>
      <c r="K3" s="10" t="s">
        <v>14</v>
      </c>
    </row>
    <row r="4" spans="1:11" x14ac:dyDescent="0.2">
      <c r="A4" s="12" t="s">
        <v>15</v>
      </c>
      <c r="B4" s="13">
        <f t="shared" ref="B4:B11" si="0">260518700*C4/$C$12</f>
        <v>126779116.66666667</v>
      </c>
      <c r="C4" s="13">
        <v>60853976</v>
      </c>
      <c r="D4" s="14">
        <f t="shared" ref="D4:D31" si="1">C4/B4</f>
        <v>0.48</v>
      </c>
      <c r="E4" s="15">
        <v>162</v>
      </c>
      <c r="F4" s="16">
        <v>101213250.44300005</v>
      </c>
      <c r="G4" s="16">
        <v>60058605.530000009</v>
      </c>
      <c r="H4" s="14">
        <f t="shared" ref="H4:H31" si="2">G4/F4</f>
        <v>0.59338678747228879</v>
      </c>
      <c r="I4" s="14">
        <f t="shared" ref="I4:I31" si="3">G4/C4</f>
        <v>0.98692985204450745</v>
      </c>
      <c r="J4" s="17">
        <v>60058605.53407497</v>
      </c>
      <c r="K4" s="14">
        <f>J4/G4</f>
        <v>1.0000000000678497</v>
      </c>
    </row>
    <row r="5" spans="1:11" x14ac:dyDescent="0.2">
      <c r="A5" s="12" t="s">
        <v>16</v>
      </c>
      <c r="B5" s="13">
        <f t="shared" si="0"/>
        <v>43185416.666666664</v>
      </c>
      <c r="C5" s="13">
        <v>20729000</v>
      </c>
      <c r="D5" s="14">
        <f t="shared" si="1"/>
        <v>0.48000000000000004</v>
      </c>
      <c r="E5" s="15">
        <v>35</v>
      </c>
      <c r="F5" s="16">
        <v>63784514.350000009</v>
      </c>
      <c r="G5" s="16">
        <v>19000009.789999999</v>
      </c>
      <c r="H5" s="14">
        <f t="shared" si="2"/>
        <v>0.29787809758560929</v>
      </c>
      <c r="I5" s="14">
        <f t="shared" si="3"/>
        <v>0.91659075642819232</v>
      </c>
      <c r="J5" s="17">
        <v>19000009.789999999</v>
      </c>
      <c r="K5" s="14">
        <f t="shared" ref="K5:K39" si="4">J5/G5</f>
        <v>1</v>
      </c>
    </row>
    <row r="6" spans="1:11" x14ac:dyDescent="0.2">
      <c r="A6" s="12" t="s">
        <v>17</v>
      </c>
      <c r="B6" s="13">
        <f t="shared" si="0"/>
        <v>30000000</v>
      </c>
      <c r="C6" s="13">
        <v>14400000</v>
      </c>
      <c r="D6" s="14">
        <f t="shared" si="1"/>
        <v>0.48</v>
      </c>
      <c r="E6" s="15">
        <v>100</v>
      </c>
      <c r="F6" s="16">
        <v>36585273.970000006</v>
      </c>
      <c r="G6" s="16">
        <v>14325001.403000003</v>
      </c>
      <c r="H6" s="14">
        <f t="shared" si="2"/>
        <v>0.39155102172383704</v>
      </c>
      <c r="I6" s="14">
        <f t="shared" si="3"/>
        <v>0.99479176409722236</v>
      </c>
      <c r="J6" s="17">
        <v>14325001.404978896</v>
      </c>
      <c r="K6" s="14">
        <f t="shared" si="4"/>
        <v>1.0000000001381426</v>
      </c>
    </row>
    <row r="7" spans="1:11" x14ac:dyDescent="0.2">
      <c r="A7" s="12" t="s">
        <v>18</v>
      </c>
      <c r="B7" s="13">
        <f t="shared" si="0"/>
        <v>1679166.6666666667</v>
      </c>
      <c r="C7" s="13">
        <v>806000</v>
      </c>
      <c r="D7" s="14">
        <f t="shared" si="1"/>
        <v>0.48</v>
      </c>
      <c r="E7" s="15">
        <v>1</v>
      </c>
      <c r="F7" s="16">
        <v>1018358.05</v>
      </c>
      <c r="G7" s="16">
        <v>814685.69</v>
      </c>
      <c r="H7" s="14">
        <f t="shared" si="2"/>
        <v>0.79999926352033046</v>
      </c>
      <c r="I7" s="14">
        <f t="shared" si="3"/>
        <v>1.0107762903225805</v>
      </c>
      <c r="J7" s="17">
        <v>814685.69</v>
      </c>
      <c r="K7" s="14">
        <f t="shared" si="4"/>
        <v>1</v>
      </c>
    </row>
    <row r="8" spans="1:11" x14ac:dyDescent="0.2">
      <c r="A8" s="12" t="s">
        <v>19</v>
      </c>
      <c r="B8" s="13">
        <f t="shared" si="0"/>
        <v>3750000</v>
      </c>
      <c r="C8" s="13">
        <v>1800000</v>
      </c>
      <c r="D8" s="14">
        <f t="shared" si="1"/>
        <v>0.48</v>
      </c>
      <c r="E8" s="15">
        <v>11</v>
      </c>
      <c r="F8" s="16">
        <f>1736382.35-7307</f>
        <v>1729075.35</v>
      </c>
      <c r="G8" s="16">
        <f>1384376.93-7307</f>
        <v>1377069.93</v>
      </c>
      <c r="H8" s="14">
        <f t="shared" si="2"/>
        <v>0.79641984948776223</v>
      </c>
      <c r="I8" s="14">
        <f t="shared" si="3"/>
        <v>0.76503884999999994</v>
      </c>
      <c r="J8" s="17">
        <v>1384376.93</v>
      </c>
      <c r="K8" s="14">
        <f t="shared" si="4"/>
        <v>1.0053061938546577</v>
      </c>
    </row>
    <row r="9" spans="1:11" x14ac:dyDescent="0.2">
      <c r="A9" s="12" t="s">
        <v>20</v>
      </c>
      <c r="B9" s="13">
        <f t="shared" si="0"/>
        <v>25312500</v>
      </c>
      <c r="C9" s="13">
        <v>12150000</v>
      </c>
      <c r="D9" s="14">
        <f t="shared" si="1"/>
        <v>0.48</v>
      </c>
      <c r="E9" s="15">
        <v>48</v>
      </c>
      <c r="F9" s="16">
        <v>19218021.41</v>
      </c>
      <c r="G9" s="16">
        <v>10218873.619999999</v>
      </c>
      <c r="H9" s="14">
        <f t="shared" si="2"/>
        <v>0.5317339075646289</v>
      </c>
      <c r="I9" s="14">
        <f t="shared" si="3"/>
        <v>0.84105955720164605</v>
      </c>
      <c r="J9" s="17">
        <f>10218873.62-7307</f>
        <v>10211566.619999999</v>
      </c>
      <c r="K9" s="14">
        <f t="shared" si="4"/>
        <v>0.99928495054624233</v>
      </c>
    </row>
    <row r="10" spans="1:11" x14ac:dyDescent="0.2">
      <c r="A10" s="12" t="s">
        <v>21</v>
      </c>
      <c r="B10" s="13">
        <f>260518700*C10/$C$12</f>
        <v>6666666.666666667</v>
      </c>
      <c r="C10" s="13">
        <v>3200000</v>
      </c>
      <c r="D10" s="14">
        <f>C10/B10</f>
        <v>0.48</v>
      </c>
      <c r="E10" s="15">
        <v>19</v>
      </c>
      <c r="F10" s="16">
        <v>7518995.1100000003</v>
      </c>
      <c r="G10" s="16">
        <v>3114222.82</v>
      </c>
      <c r="H10" s="14">
        <f>G10/F10</f>
        <v>0.41418072155123398</v>
      </c>
      <c r="I10" s="14">
        <f>G10/C10</f>
        <v>0.97319463124999994</v>
      </c>
      <c r="J10" s="17">
        <v>3114222.82</v>
      </c>
      <c r="K10" s="14">
        <f t="shared" si="4"/>
        <v>1</v>
      </c>
    </row>
    <row r="11" spans="1:11" x14ac:dyDescent="0.2">
      <c r="A11" s="12" t="s">
        <v>22</v>
      </c>
      <c r="B11" s="13">
        <f t="shared" si="0"/>
        <v>23145833.333333332</v>
      </c>
      <c r="C11" s="13">
        <v>11110000</v>
      </c>
      <c r="D11" s="14">
        <f t="shared" si="1"/>
        <v>0.48000000000000004</v>
      </c>
      <c r="E11" s="15">
        <v>10</v>
      </c>
      <c r="F11" s="16">
        <v>26538679.68</v>
      </c>
      <c r="G11" s="16">
        <v>9941115.9299999978</v>
      </c>
      <c r="H11" s="14">
        <f t="shared" si="2"/>
        <v>0.37458969511176521</v>
      </c>
      <c r="I11" s="14">
        <f t="shared" si="3"/>
        <v>0.89478991269126895</v>
      </c>
      <c r="J11" s="17">
        <v>9941115.9299999997</v>
      </c>
      <c r="K11" s="14">
        <f t="shared" si="4"/>
        <v>1.0000000000000002</v>
      </c>
    </row>
    <row r="12" spans="1:11" x14ac:dyDescent="0.2">
      <c r="A12" s="20" t="s">
        <v>23</v>
      </c>
      <c r="B12" s="21">
        <f>SUM(B4:B11)</f>
        <v>260518700</v>
      </c>
      <c r="C12" s="21">
        <f>SUM(C4:C11)</f>
        <v>125048976</v>
      </c>
      <c r="D12" s="22">
        <f>C12/B12</f>
        <v>0.48</v>
      </c>
      <c r="E12" s="23">
        <v>386</v>
      </c>
      <c r="F12" s="24">
        <f>SUM(F4:F11)</f>
        <v>257606168.36300007</v>
      </c>
      <c r="G12" s="24">
        <f>SUM(G4:G11)</f>
        <v>118849584.713</v>
      </c>
      <c r="H12" s="22">
        <f>G12/F12</f>
        <v>0.46136156392624</v>
      </c>
      <c r="I12" s="22">
        <f>G12/C12</f>
        <v>0.95042429386227045</v>
      </c>
      <c r="J12" s="25">
        <f>SUM(J4:J11)</f>
        <v>118849584.71905386</v>
      </c>
      <c r="K12" s="26">
        <f t="shared" si="4"/>
        <v>1.0000000000509373</v>
      </c>
    </row>
    <row r="13" spans="1:11" x14ac:dyDescent="0.2">
      <c r="A13" s="12" t="s">
        <v>24</v>
      </c>
      <c r="B13" s="13">
        <f>104791667*C13/$C$15</f>
        <v>42083333.467196822</v>
      </c>
      <c r="C13" s="13">
        <v>20200000</v>
      </c>
      <c r="D13" s="14">
        <f t="shared" si="1"/>
        <v>0.47999999847316099</v>
      </c>
      <c r="E13" s="15">
        <v>28</v>
      </c>
      <c r="F13" s="16">
        <v>94137008.750000015</v>
      </c>
      <c r="G13" s="16">
        <v>20017875.400000002</v>
      </c>
      <c r="H13" s="14">
        <f t="shared" si="2"/>
        <v>0.2126461809845854</v>
      </c>
      <c r="I13" s="14">
        <f t="shared" si="3"/>
        <v>0.99098393069306945</v>
      </c>
      <c r="J13" s="17">
        <v>20017875.400000002</v>
      </c>
      <c r="K13" s="14">
        <f t="shared" si="4"/>
        <v>1</v>
      </c>
    </row>
    <row r="14" spans="1:11" x14ac:dyDescent="0.2">
      <c r="A14" s="12" t="s">
        <v>25</v>
      </c>
      <c r="B14" s="13">
        <f>104791667*C14/$C$15</f>
        <v>62708333.532803178</v>
      </c>
      <c r="C14" s="13">
        <v>30100000</v>
      </c>
      <c r="D14" s="14">
        <f t="shared" si="1"/>
        <v>0.47999999847316105</v>
      </c>
      <c r="E14" s="15">
        <v>46</v>
      </c>
      <c r="F14" s="16">
        <v>93845489.360000014</v>
      </c>
      <c r="G14" s="16">
        <v>32496901.599999998</v>
      </c>
      <c r="H14" s="14">
        <f t="shared" si="2"/>
        <v>0.34628091154534729</v>
      </c>
      <c r="I14" s="14">
        <f t="shared" si="3"/>
        <v>1.0796312823920264</v>
      </c>
      <c r="J14" s="17">
        <v>32496901.599999998</v>
      </c>
      <c r="K14" s="14">
        <f t="shared" si="4"/>
        <v>1</v>
      </c>
    </row>
    <row r="15" spans="1:11" x14ac:dyDescent="0.2">
      <c r="A15" s="20" t="s">
        <v>26</v>
      </c>
      <c r="B15" s="21">
        <f>SUM(B13:B14)</f>
        <v>104791667</v>
      </c>
      <c r="C15" s="21">
        <f>SUM(C13:C14)</f>
        <v>50300000</v>
      </c>
      <c r="D15" s="22">
        <f t="shared" si="1"/>
        <v>0.47999999847316105</v>
      </c>
      <c r="E15" s="23">
        <v>74</v>
      </c>
      <c r="F15" s="24">
        <v>187982498.11000001</v>
      </c>
      <c r="G15" s="24">
        <v>52514777</v>
      </c>
      <c r="H15" s="22">
        <f t="shared" si="2"/>
        <v>0.27935992726977382</v>
      </c>
      <c r="I15" s="22">
        <f t="shared" si="3"/>
        <v>1.0440313518886679</v>
      </c>
      <c r="J15" s="25">
        <v>52514777.000000015</v>
      </c>
      <c r="K15" s="26">
        <f t="shared" si="4"/>
        <v>1.0000000000000002</v>
      </c>
    </row>
    <row r="16" spans="1:11" x14ac:dyDescent="0.2">
      <c r="A16" s="12" t="s">
        <v>27</v>
      </c>
      <c r="B16" s="13">
        <f>12195833*C16/$C$18</f>
        <v>2291666.6040314315</v>
      </c>
      <c r="C16" s="13">
        <v>1100000</v>
      </c>
      <c r="D16" s="14">
        <f t="shared" si="1"/>
        <v>0.48000001311923507</v>
      </c>
      <c r="E16" s="15">
        <v>7</v>
      </c>
      <c r="F16" s="16">
        <v>2249502.15</v>
      </c>
      <c r="G16" s="16">
        <v>1107043.21</v>
      </c>
      <c r="H16" s="14">
        <f t="shared" si="2"/>
        <v>0.4921280959878167</v>
      </c>
      <c r="I16" s="14">
        <f t="shared" si="3"/>
        <v>1.0064029181818182</v>
      </c>
      <c r="J16" s="17">
        <v>1107043.21</v>
      </c>
      <c r="K16" s="14">
        <f t="shared" si="4"/>
        <v>1</v>
      </c>
    </row>
    <row r="17" spans="1:11" x14ac:dyDescent="0.2">
      <c r="A17" s="12" t="s">
        <v>28</v>
      </c>
      <c r="B17" s="13">
        <f>12195833*C17/$C$18</f>
        <v>9904166.3959685676</v>
      </c>
      <c r="C17" s="13">
        <v>4754000</v>
      </c>
      <c r="D17" s="14">
        <f t="shared" si="1"/>
        <v>0.48000001311923512</v>
      </c>
      <c r="E17" s="15">
        <v>42</v>
      </c>
      <c r="F17" s="16">
        <v>8408551.6565000005</v>
      </c>
      <c r="G17" s="16">
        <v>3982420.7228999995</v>
      </c>
      <c r="H17" s="14">
        <f t="shared" si="2"/>
        <v>0.47361553874994611</v>
      </c>
      <c r="I17" s="14">
        <f t="shared" si="3"/>
        <v>0.83769893203617996</v>
      </c>
      <c r="J17" s="17">
        <v>3982420.7293999996</v>
      </c>
      <c r="K17" s="14">
        <f t="shared" si="4"/>
        <v>1.0000000016321731</v>
      </c>
    </row>
    <row r="18" spans="1:11" x14ac:dyDescent="0.2">
      <c r="A18" s="20" t="s">
        <v>29</v>
      </c>
      <c r="B18" s="21">
        <f>SUM(B16:B17)</f>
        <v>12195833</v>
      </c>
      <c r="C18" s="21">
        <f>SUM(C16:C17)</f>
        <v>5854000</v>
      </c>
      <c r="D18" s="22">
        <f t="shared" si="1"/>
        <v>0.48000001311923507</v>
      </c>
      <c r="E18" s="23">
        <v>49</v>
      </c>
      <c r="F18" s="24">
        <v>10658053.806500001</v>
      </c>
      <c r="G18" s="24">
        <v>5089463.9328999994</v>
      </c>
      <c r="H18" s="22">
        <f t="shared" si="2"/>
        <v>0.47752282220569209</v>
      </c>
      <c r="I18" s="22">
        <f t="shared" si="3"/>
        <v>0.86939937357362473</v>
      </c>
      <c r="J18" s="25">
        <v>5089463.9393999996</v>
      </c>
      <c r="K18" s="26">
        <f t="shared" si="4"/>
        <v>1.0000000012771484</v>
      </c>
    </row>
    <row r="19" spans="1:11" x14ac:dyDescent="0.2">
      <c r="A19" s="12" t="s">
        <v>30</v>
      </c>
      <c r="B19" s="13">
        <f>72387499*C19/$C$21</f>
        <v>54704911.744276807</v>
      </c>
      <c r="C19" s="13">
        <v>26258358</v>
      </c>
      <c r="D19" s="14">
        <f t="shared" si="1"/>
        <v>0.48000000663097919</v>
      </c>
      <c r="E19" s="15">
        <v>40</v>
      </c>
      <c r="F19" s="16">
        <v>77385638.099999994</v>
      </c>
      <c r="G19" s="16">
        <v>26788591.810000002</v>
      </c>
      <c r="H19" s="14">
        <f t="shared" si="2"/>
        <v>0.34617007067103328</v>
      </c>
      <c r="I19" s="14">
        <f t="shared" si="3"/>
        <v>1.0201929538016048</v>
      </c>
      <c r="J19" s="17">
        <v>26788591.810000002</v>
      </c>
      <c r="K19" s="14">
        <f t="shared" si="4"/>
        <v>1</v>
      </c>
    </row>
    <row r="20" spans="1:11" x14ac:dyDescent="0.2">
      <c r="A20" s="12" t="s">
        <v>31</v>
      </c>
      <c r="B20" s="13">
        <f>72387499*C20/$C$21</f>
        <v>17682587.25572319</v>
      </c>
      <c r="C20" s="13">
        <v>8487642</v>
      </c>
      <c r="D20" s="14">
        <f t="shared" si="1"/>
        <v>0.48000000663097925</v>
      </c>
      <c r="E20" s="15">
        <v>17</v>
      </c>
      <c r="F20" s="16">
        <v>20390381.090000004</v>
      </c>
      <c r="G20" s="16">
        <v>8141443.0100000007</v>
      </c>
      <c r="H20" s="14">
        <f t="shared" si="2"/>
        <v>0.39927860955932726</v>
      </c>
      <c r="I20" s="14">
        <f>G20/C20</f>
        <v>0.95921140524070181</v>
      </c>
      <c r="J20" s="17">
        <v>8141443.0110000009</v>
      </c>
      <c r="K20" s="14">
        <f t="shared" si="4"/>
        <v>1.0000000001228284</v>
      </c>
    </row>
    <row r="21" spans="1:11" x14ac:dyDescent="0.2">
      <c r="A21" s="20" t="s">
        <v>32</v>
      </c>
      <c r="B21" s="21">
        <f>SUM(B19:B20)</f>
        <v>72387499</v>
      </c>
      <c r="C21" s="21">
        <f>SUM(C19:C20)</f>
        <v>34746000</v>
      </c>
      <c r="D21" s="22">
        <f t="shared" si="1"/>
        <v>0.48000000663097919</v>
      </c>
      <c r="E21" s="23">
        <v>57</v>
      </c>
      <c r="F21" s="21">
        <v>97776019.189999998</v>
      </c>
      <c r="G21" s="21">
        <v>34930034.82</v>
      </c>
      <c r="H21" s="22">
        <f t="shared" si="2"/>
        <v>0.35724541773503143</v>
      </c>
      <c r="I21" s="22">
        <f t="shared" si="3"/>
        <v>1.0052965757209462</v>
      </c>
      <c r="J21" s="25">
        <v>34930034.821000002</v>
      </c>
      <c r="K21" s="26">
        <f t="shared" si="4"/>
        <v>1.0000000000286287</v>
      </c>
    </row>
    <row r="22" spans="1:11" x14ac:dyDescent="0.2">
      <c r="A22" s="12" t="s">
        <v>33</v>
      </c>
      <c r="B22" s="13">
        <v>36493089</v>
      </c>
      <c r="C22" s="13">
        <v>24328726</v>
      </c>
      <c r="D22" s="14">
        <f t="shared" si="1"/>
        <v>0.66666666666666663</v>
      </c>
      <c r="E22" s="15">
        <v>8</v>
      </c>
      <c r="F22" s="16">
        <v>38504480.890000008</v>
      </c>
      <c r="G22" s="16">
        <v>22513657.860000003</v>
      </c>
      <c r="H22" s="14">
        <f t="shared" si="2"/>
        <v>0.58470228242570654</v>
      </c>
      <c r="I22" s="14">
        <f t="shared" si="3"/>
        <v>0.92539403255230068</v>
      </c>
      <c r="J22" s="17">
        <v>22513657.860000003</v>
      </c>
      <c r="K22" s="14">
        <f t="shared" si="4"/>
        <v>1</v>
      </c>
    </row>
    <row r="23" spans="1:11" s="33" customFormat="1" x14ac:dyDescent="0.2">
      <c r="A23" s="29" t="s">
        <v>34</v>
      </c>
      <c r="B23" s="30">
        <f>B22/2</f>
        <v>18246544.5</v>
      </c>
      <c r="C23" s="30">
        <f>C22/2</f>
        <v>12164363</v>
      </c>
      <c r="D23" s="31">
        <f t="shared" si="1"/>
        <v>0.66666666666666663</v>
      </c>
      <c r="E23" s="32">
        <v>8</v>
      </c>
      <c r="F23" s="30">
        <v>19252240.445000004</v>
      </c>
      <c r="G23" s="30">
        <v>11256828.930000002</v>
      </c>
      <c r="H23" s="31">
        <f t="shared" si="2"/>
        <v>0.58470228242570654</v>
      </c>
      <c r="I23" s="31">
        <f t="shared" si="3"/>
        <v>0.92539403255230068</v>
      </c>
      <c r="J23" s="30">
        <v>11256828.930000002</v>
      </c>
      <c r="K23" s="43">
        <f t="shared" si="4"/>
        <v>1</v>
      </c>
    </row>
    <row r="24" spans="1:11" x14ac:dyDescent="0.2">
      <c r="A24" s="20" t="s">
        <v>35</v>
      </c>
      <c r="B24" s="21">
        <f>B22</f>
        <v>36493089</v>
      </c>
      <c r="C24" s="21">
        <f>C22</f>
        <v>24328726</v>
      </c>
      <c r="D24" s="22">
        <f t="shared" si="1"/>
        <v>0.66666666666666663</v>
      </c>
      <c r="E24" s="34">
        <v>8</v>
      </c>
      <c r="F24" s="24">
        <v>38504480.890000008</v>
      </c>
      <c r="G24" s="24">
        <v>22513657.860000003</v>
      </c>
      <c r="H24" s="22">
        <f t="shared" si="2"/>
        <v>0.58470228242570654</v>
      </c>
      <c r="I24" s="22">
        <f t="shared" si="3"/>
        <v>0.92539403255230068</v>
      </c>
      <c r="J24" s="25">
        <v>22513657.860000003</v>
      </c>
      <c r="K24" s="26">
        <f t="shared" si="4"/>
        <v>1</v>
      </c>
    </row>
    <row r="25" spans="1:11" x14ac:dyDescent="0.2">
      <c r="A25" s="12" t="s">
        <v>36</v>
      </c>
      <c r="B25" s="13">
        <f>82153036*C25/$C$27</f>
        <v>79613036</v>
      </c>
      <c r="C25" s="13">
        <v>39806518</v>
      </c>
      <c r="D25" s="14">
        <f t="shared" si="1"/>
        <v>0.5</v>
      </c>
      <c r="E25" s="15">
        <v>27</v>
      </c>
      <c r="F25" s="16">
        <v>86170605.26000002</v>
      </c>
      <c r="G25" s="16">
        <v>42994893.18</v>
      </c>
      <c r="H25" s="14">
        <f t="shared" si="2"/>
        <v>0.49895080869250924</v>
      </c>
      <c r="I25" s="14">
        <f t="shared" si="3"/>
        <v>1.0800968117834371</v>
      </c>
      <c r="J25" s="17">
        <v>42994893.18</v>
      </c>
      <c r="K25" s="14">
        <f t="shared" si="4"/>
        <v>1</v>
      </c>
    </row>
    <row r="26" spans="1:11" x14ac:dyDescent="0.2">
      <c r="A26" s="12" t="s">
        <v>37</v>
      </c>
      <c r="B26" s="13">
        <f>82153036*C26/$C$27</f>
        <v>2540000</v>
      </c>
      <c r="C26" s="13">
        <v>1270000</v>
      </c>
      <c r="D26" s="14">
        <f t="shared" si="1"/>
        <v>0.5</v>
      </c>
      <c r="E26" s="15">
        <v>7</v>
      </c>
      <c r="F26" s="16">
        <v>4419073.6899999995</v>
      </c>
      <c r="G26" s="16">
        <v>2148597.9900000002</v>
      </c>
      <c r="H26" s="14">
        <f t="shared" si="2"/>
        <v>0.48621003873777913</v>
      </c>
      <c r="I26" s="14">
        <f t="shared" si="3"/>
        <v>1.6918094409448821</v>
      </c>
      <c r="J26" s="17">
        <v>2148597.9900000002</v>
      </c>
      <c r="K26" s="14">
        <f t="shared" si="4"/>
        <v>1</v>
      </c>
    </row>
    <row r="27" spans="1:11" x14ac:dyDescent="0.2">
      <c r="A27" s="20" t="s">
        <v>38</v>
      </c>
      <c r="B27" s="21">
        <f>SUM(B25:B26)</f>
        <v>82153036</v>
      </c>
      <c r="C27" s="21">
        <f>SUM(C25:C26)</f>
        <v>41076518</v>
      </c>
      <c r="D27" s="22">
        <f t="shared" si="1"/>
        <v>0.5</v>
      </c>
      <c r="E27" s="23">
        <v>34</v>
      </c>
      <c r="F27" s="21">
        <v>90589678.950000018</v>
      </c>
      <c r="G27" s="21">
        <v>45143491.170000002</v>
      </c>
      <c r="H27" s="22">
        <f t="shared" si="2"/>
        <v>0.49832929858286018</v>
      </c>
      <c r="I27" s="22">
        <f t="shared" si="3"/>
        <v>1.0990096865075079</v>
      </c>
      <c r="J27" s="25">
        <v>45143491.170000002</v>
      </c>
      <c r="K27" s="26">
        <f t="shared" si="4"/>
        <v>1</v>
      </c>
    </row>
    <row r="28" spans="1:11" x14ac:dyDescent="0.2">
      <c r="A28" s="12" t="s">
        <v>39</v>
      </c>
      <c r="B28" s="13">
        <v>15260000</v>
      </c>
      <c r="C28" s="13">
        <v>7630000</v>
      </c>
      <c r="D28" s="14">
        <f t="shared" si="1"/>
        <v>0.5</v>
      </c>
      <c r="E28" s="15">
        <v>6</v>
      </c>
      <c r="F28" s="16">
        <v>15444830.810000001</v>
      </c>
      <c r="G28" s="16">
        <v>7722278.1299999999</v>
      </c>
      <c r="H28" s="14">
        <f t="shared" si="2"/>
        <v>0.49999111191299606</v>
      </c>
      <c r="I28" s="14">
        <f t="shared" si="3"/>
        <v>1.0120941192660551</v>
      </c>
      <c r="J28" s="17">
        <v>7722278.1349999998</v>
      </c>
      <c r="K28" s="14">
        <f t="shared" si="4"/>
        <v>1.0000000006474774</v>
      </c>
    </row>
    <row r="29" spans="1:11" x14ac:dyDescent="0.2">
      <c r="A29" s="20" t="s">
        <v>40</v>
      </c>
      <c r="B29" s="21">
        <f>B28</f>
        <v>15260000</v>
      </c>
      <c r="C29" s="21">
        <f>C28</f>
        <v>7630000</v>
      </c>
      <c r="D29" s="22">
        <f t="shared" si="1"/>
        <v>0.5</v>
      </c>
      <c r="E29" s="34">
        <v>6</v>
      </c>
      <c r="F29" s="24">
        <v>15444830.810000001</v>
      </c>
      <c r="G29" s="24">
        <v>7722278.1299999999</v>
      </c>
      <c r="H29" s="22">
        <f t="shared" si="2"/>
        <v>0.49999111191299606</v>
      </c>
      <c r="I29" s="22">
        <f t="shared" si="3"/>
        <v>1.0120941192660551</v>
      </c>
      <c r="J29" s="25">
        <v>7722278.1349999998</v>
      </c>
      <c r="K29" s="26">
        <f t="shared" si="4"/>
        <v>1.0000000006474774</v>
      </c>
    </row>
    <row r="30" spans="1:11" x14ac:dyDescent="0.2">
      <c r="A30" s="12" t="s">
        <v>41</v>
      </c>
      <c r="B30" s="13">
        <f>C30*(3730286/1865143)</f>
        <v>3730286</v>
      </c>
      <c r="C30" s="13">
        <v>1865143</v>
      </c>
      <c r="D30" s="14">
        <f t="shared" si="1"/>
        <v>0.5</v>
      </c>
      <c r="E30" s="15">
        <v>3</v>
      </c>
      <c r="F30" s="16">
        <v>3593011.11</v>
      </c>
      <c r="G30" s="16">
        <v>1796505.5649999999</v>
      </c>
      <c r="H30" s="14">
        <f t="shared" si="2"/>
        <v>0.50000000278318091</v>
      </c>
      <c r="I30" s="14">
        <f t="shared" si="3"/>
        <v>0.96319990746017858</v>
      </c>
      <c r="J30" s="17">
        <v>1796505.56</v>
      </c>
      <c r="K30" s="14">
        <f t="shared" si="4"/>
        <v>0.9999999972168192</v>
      </c>
    </row>
    <row r="31" spans="1:11" x14ac:dyDescent="0.2">
      <c r="A31" s="20" t="s">
        <v>42</v>
      </c>
      <c r="B31" s="21">
        <f>B30</f>
        <v>3730286</v>
      </c>
      <c r="C31" s="21">
        <f>C30</f>
        <v>1865143</v>
      </c>
      <c r="D31" s="22">
        <f t="shared" si="1"/>
        <v>0.5</v>
      </c>
      <c r="E31" s="34">
        <v>3</v>
      </c>
      <c r="F31" s="24">
        <v>3593011.11</v>
      </c>
      <c r="G31" s="24">
        <v>1796505.5649999999</v>
      </c>
      <c r="H31" s="22">
        <f t="shared" si="2"/>
        <v>0.50000000278318091</v>
      </c>
      <c r="I31" s="22">
        <f t="shared" si="3"/>
        <v>0.96319990746017858</v>
      </c>
      <c r="J31" s="25">
        <v>1796505.56</v>
      </c>
      <c r="K31" s="26">
        <f t="shared" si="4"/>
        <v>0.9999999972168192</v>
      </c>
    </row>
    <row r="32" spans="1:11" x14ac:dyDescent="0.2">
      <c r="A32" s="12" t="s">
        <v>43</v>
      </c>
      <c r="B32" s="13">
        <v>5990000</v>
      </c>
      <c r="C32" s="13">
        <v>2995000</v>
      </c>
      <c r="D32" s="14">
        <f>C32/B32</f>
        <v>0.5</v>
      </c>
      <c r="E32" s="15">
        <v>4</v>
      </c>
      <c r="F32" s="16">
        <v>3642911.5</v>
      </c>
      <c r="G32" s="16">
        <v>2914329.2</v>
      </c>
      <c r="H32" s="14">
        <f>G32/F32</f>
        <v>0.8</v>
      </c>
      <c r="I32" s="14">
        <f>G32/C32</f>
        <v>0.97306484140233729</v>
      </c>
      <c r="J32" s="17">
        <v>2914329.2</v>
      </c>
      <c r="K32" s="14">
        <f t="shared" si="4"/>
        <v>1</v>
      </c>
    </row>
    <row r="33" spans="1:11" x14ac:dyDescent="0.2">
      <c r="A33" s="20" t="s">
        <v>44</v>
      </c>
      <c r="B33" s="21">
        <f>B32</f>
        <v>5990000</v>
      </c>
      <c r="C33" s="21">
        <f>C32</f>
        <v>2995000</v>
      </c>
      <c r="D33" s="22">
        <f>C33/B33</f>
        <v>0.5</v>
      </c>
      <c r="E33" s="34">
        <v>4</v>
      </c>
      <c r="F33" s="24">
        <v>3642911.5</v>
      </c>
      <c r="G33" s="24">
        <v>2914329.2</v>
      </c>
      <c r="H33" s="22">
        <f>G33/F33</f>
        <v>0.8</v>
      </c>
      <c r="I33" s="22">
        <f>G33/C33</f>
        <v>0.97306484140233729</v>
      </c>
      <c r="J33" s="25">
        <v>2914329.2</v>
      </c>
      <c r="K33" s="26">
        <f t="shared" si="4"/>
        <v>1</v>
      </c>
    </row>
    <row r="34" spans="1:11" x14ac:dyDescent="0.2">
      <c r="A34" s="12"/>
      <c r="B34" s="13"/>
      <c r="C34" s="12"/>
      <c r="D34" s="27"/>
      <c r="E34" s="15"/>
      <c r="F34" s="16"/>
      <c r="G34" s="16"/>
      <c r="H34" s="14"/>
      <c r="I34" s="27"/>
      <c r="J34" s="27"/>
      <c r="K34" s="14"/>
    </row>
    <row r="35" spans="1:11" x14ac:dyDescent="0.2">
      <c r="A35" s="20" t="s">
        <v>45</v>
      </c>
      <c r="B35" s="21">
        <f>SUM(B12,B15,B18,B21,B29)</f>
        <v>465153699</v>
      </c>
      <c r="C35" s="21">
        <f>SUM(C12,C15,C18,C21,C29)</f>
        <v>223578976</v>
      </c>
      <c r="D35" s="22">
        <f>C35/B35</f>
        <v>0.48065612824461273</v>
      </c>
      <c r="E35" s="34">
        <v>572</v>
      </c>
      <c r="F35" s="21">
        <f>SUM(F12,F15,F18,F21,F29)</f>
        <v>569467570.27950001</v>
      </c>
      <c r="G35" s="21">
        <f>SUM(G12,G15,G18,G21,G29)</f>
        <v>219106138.5959</v>
      </c>
      <c r="H35" s="22">
        <f>G35/F35</f>
        <v>0.3847561301662194</v>
      </c>
      <c r="I35" s="22">
        <f>G35/C35</f>
        <v>0.97999437387127131</v>
      </c>
      <c r="J35" s="35">
        <f>SUM(J12,J15,J18,J21,J29)</f>
        <v>219106138.61445385</v>
      </c>
      <c r="K35" s="44">
        <f t="shared" si="4"/>
        <v>1.0000000000846798</v>
      </c>
    </row>
    <row r="36" spans="1:11" x14ac:dyDescent="0.2">
      <c r="A36" s="20" t="s">
        <v>46</v>
      </c>
      <c r="B36" s="21">
        <f>B24</f>
        <v>36493089</v>
      </c>
      <c r="C36" s="21">
        <f>C24</f>
        <v>24328726</v>
      </c>
      <c r="D36" s="22">
        <f>C36/B36</f>
        <v>0.66666666666666663</v>
      </c>
      <c r="E36" s="34">
        <v>8</v>
      </c>
      <c r="F36" s="21">
        <v>38504480.890000008</v>
      </c>
      <c r="G36" s="21">
        <v>22513657.860000003</v>
      </c>
      <c r="H36" s="22">
        <f>G36/F36</f>
        <v>0.58470228242570654</v>
      </c>
      <c r="I36" s="22">
        <f>G36/C36</f>
        <v>0.92539403255230068</v>
      </c>
      <c r="J36" s="35">
        <v>22513657.860000003</v>
      </c>
      <c r="K36" s="44">
        <f t="shared" si="4"/>
        <v>1</v>
      </c>
    </row>
    <row r="37" spans="1:11" x14ac:dyDescent="0.2">
      <c r="A37" s="20" t="s">
        <v>47</v>
      </c>
      <c r="B37" s="21">
        <f>SUM(B27,B31,B33)</f>
        <v>91873322</v>
      </c>
      <c r="C37" s="21">
        <f>SUM(C27,C31,C33)</f>
        <v>45936661</v>
      </c>
      <c r="D37" s="22">
        <f>C37/B37</f>
        <v>0.5</v>
      </c>
      <c r="E37" s="34">
        <v>41</v>
      </c>
      <c r="F37" s="21">
        <v>97825601.560000017</v>
      </c>
      <c r="G37" s="21">
        <v>49854325.935000002</v>
      </c>
      <c r="H37" s="22">
        <f>G37/F37</f>
        <v>0.50962452711750028</v>
      </c>
      <c r="I37" s="22">
        <f>G37/C37</f>
        <v>1.0852840596098181</v>
      </c>
      <c r="J37" s="35">
        <v>49854325.930000007</v>
      </c>
      <c r="K37" s="44">
        <f t="shared" si="4"/>
        <v>0.99999999989970789</v>
      </c>
    </row>
    <row r="38" spans="1:11" x14ac:dyDescent="0.2">
      <c r="A38" s="12"/>
      <c r="B38" s="16"/>
      <c r="C38" s="16"/>
      <c r="D38" s="27"/>
      <c r="E38" s="37"/>
      <c r="F38" s="16"/>
      <c r="G38" s="16"/>
      <c r="H38" s="27"/>
      <c r="I38" s="27"/>
      <c r="J38" s="16"/>
      <c r="K38" s="14"/>
    </row>
    <row r="39" spans="1:11" x14ac:dyDescent="0.2">
      <c r="A39" s="20" t="s">
        <v>48</v>
      </c>
      <c r="B39" s="21">
        <f>SUM(B35:B37)</f>
        <v>593520110</v>
      </c>
      <c r="C39" s="21">
        <f>SUM(C35:C37)</f>
        <v>293844363</v>
      </c>
      <c r="D39" s="22">
        <f>C39/B39</f>
        <v>0.49508745878888588</v>
      </c>
      <c r="E39" s="34">
        <v>621</v>
      </c>
      <c r="F39" s="21">
        <f>SUM(F35:F37)</f>
        <v>705797652.72950006</v>
      </c>
      <c r="G39" s="21">
        <f>SUM(G35:G37)</f>
        <v>291474122.39090002</v>
      </c>
      <c r="H39" s="22">
        <f>G39/F39</f>
        <v>0.4129712266167152</v>
      </c>
      <c r="I39" s="22">
        <f>G39/C39</f>
        <v>0.99193368698687612</v>
      </c>
      <c r="J39" s="35">
        <f>SUM(J35:J37)</f>
        <v>291474122.40445387</v>
      </c>
      <c r="K39" s="44">
        <f t="shared" si="4"/>
        <v>1.000000000046501</v>
      </c>
    </row>
    <row r="41" spans="1:11" x14ac:dyDescent="0.2">
      <c r="B41" s="40"/>
    </row>
    <row r="42" spans="1:11" x14ac:dyDescent="0.2">
      <c r="B42" s="40"/>
    </row>
  </sheetData>
  <mergeCells count="4">
    <mergeCell ref="A1:K1"/>
    <mergeCell ref="B2:D2"/>
    <mergeCell ref="E2:I2"/>
    <mergeCell ref="J2:K2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PO BN + REACT-EU</vt:lpstr>
      <vt:lpstr>PO HN</vt:lpstr>
      <vt:lpstr>'PO BN + REACT-EU'!Zone_d_impression</vt:lpstr>
      <vt:lpstr>'PO HN'!Zone_d_impression</vt:lpstr>
    </vt:vector>
  </TitlesOfParts>
  <Company>Region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MENARD Florian</dc:creator>
  <cp:lastModifiedBy>MENARD Florian</cp:lastModifiedBy>
  <cp:lastPrinted>2024-12-20T14:55:21Z</cp:lastPrinted>
  <dcterms:created xsi:type="dcterms:W3CDTF">2024-12-20T14:46:14Z</dcterms:created>
  <dcterms:modified xsi:type="dcterms:W3CDTF">2025-08-22T09:37:19Z</dcterms:modified>
</cp:coreProperties>
</file>